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82b1bef2b2dc34/Abenet/Desktop/My Trainings/9.Finance Education Series/"/>
    </mc:Choice>
  </mc:AlternateContent>
  <xr:revisionPtr revIDLastSave="0" documentId="8_{6FD1B841-A29C-48B8-88E8-9786E52B04BE}" xr6:coauthVersionLast="47" xr6:coauthVersionMax="47" xr10:uidLastSave="{00000000-0000-0000-0000-000000000000}"/>
  <bookViews>
    <workbookView xWindow="-110" yWindow="-110" windowWidth="19420" windowHeight="10300" tabRatio="959" activeTab="3" xr2:uid="{892766F4-3886-4184-A0A7-E3F6C2CBFA66}"/>
  </bookViews>
  <sheets>
    <sheet name="Cover" sheetId="1" r:id="rId1"/>
    <sheet name="Assumptions" sheetId="2" r:id="rId2"/>
    <sheet name="Development" sheetId="3" r:id="rId3"/>
    <sheet name="Operations" sheetId="4" r:id="rId4"/>
    <sheet name="Financials" sheetId="5" r:id="rId5"/>
    <sheet name="Financing" sheetId="6" r:id="rId6"/>
    <sheet name="Returns" sheetId="7" r:id="rId7"/>
    <sheet name="Sensitivity" sheetId="8" r:id="rId8"/>
    <sheet name="Checks" sheetId="9" r:id="rId9"/>
    <sheet name="Source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1" i="7" l="1" a="1"/>
  <c r="B21" i="7" s="1"/>
  <c r="C12" i="9" s="1"/>
  <c r="C5" i="9"/>
  <c r="C6" i="9"/>
  <c r="C7" i="9"/>
  <c r="C9" i="9"/>
  <c r="C10" i="9"/>
  <c r="B5" i="9"/>
  <c r="B6" i="9"/>
  <c r="B7" i="9"/>
  <c r="B9" i="9"/>
  <c r="B10" i="9"/>
  <c r="B27" i="7"/>
  <c r="B26" i="7"/>
  <c r="B18" i="7"/>
  <c r="B20" i="7"/>
  <c r="E11" i="1" s="1"/>
  <c r="B14" i="7"/>
  <c r="B5" i="7"/>
  <c r="B6" i="7"/>
  <c r="B7" i="7"/>
  <c r="B10" i="7"/>
  <c r="B7" i="5"/>
  <c r="C7" i="5"/>
  <c r="D7" i="5"/>
  <c r="E7" i="5"/>
  <c r="F7" i="5"/>
  <c r="G7" i="5"/>
  <c r="H7" i="5"/>
  <c r="I7" i="5"/>
  <c r="J7" i="5"/>
  <c r="K7" i="5"/>
  <c r="B9" i="5"/>
  <c r="C9" i="5"/>
  <c r="D9" i="5"/>
  <c r="E9" i="5"/>
  <c r="F9" i="5"/>
  <c r="G9" i="5"/>
  <c r="H9" i="5"/>
  <c r="I9" i="5"/>
  <c r="J9" i="5"/>
  <c r="K9" i="5"/>
  <c r="B16" i="5"/>
  <c r="C16" i="5"/>
  <c r="D16" i="5"/>
  <c r="E16" i="5"/>
  <c r="F16" i="5"/>
  <c r="G16" i="5"/>
  <c r="H16" i="5"/>
  <c r="I16" i="5"/>
  <c r="J16" i="5"/>
  <c r="K16" i="5"/>
  <c r="B5" i="4"/>
  <c r="C5" i="4"/>
  <c r="D5" i="4"/>
  <c r="D7" i="4" s="1"/>
  <c r="D10" i="4" s="1"/>
  <c r="E5" i="4"/>
  <c r="E7" i="4" s="1"/>
  <c r="E10" i="4" s="1"/>
  <c r="F5" i="4"/>
  <c r="F7" i="4" s="1"/>
  <c r="F10" i="4" s="1"/>
  <c r="G5" i="4"/>
  <c r="G7" i="4" s="1"/>
  <c r="H5" i="4"/>
  <c r="H7" i="4" s="1"/>
  <c r="I5" i="4"/>
  <c r="I7" i="4" s="1"/>
  <c r="J5" i="4"/>
  <c r="J7" i="4" s="1"/>
  <c r="K5" i="4"/>
  <c r="K7" i="4" s="1"/>
  <c r="B6" i="4"/>
  <c r="B9" i="4" s="1"/>
  <c r="C6" i="4"/>
  <c r="D6" i="4"/>
  <c r="E6" i="4"/>
  <c r="F6" i="4"/>
  <c r="G6" i="4"/>
  <c r="H6" i="4"/>
  <c r="I6" i="4"/>
  <c r="J6" i="4"/>
  <c r="J9" i="4" s="1"/>
  <c r="K6" i="4"/>
  <c r="B7" i="4"/>
  <c r="C7" i="4"/>
  <c r="B8" i="4"/>
  <c r="C8" i="4"/>
  <c r="D8" i="4"/>
  <c r="D9" i="4" s="1"/>
  <c r="E8" i="4"/>
  <c r="E9" i="4" s="1"/>
  <c r="F8" i="4"/>
  <c r="G8" i="4"/>
  <c r="H8" i="4"/>
  <c r="I8" i="4"/>
  <c r="I9" i="4" s="1"/>
  <c r="J8" i="4"/>
  <c r="K8" i="4"/>
  <c r="B12" i="6"/>
  <c r="B13" i="6"/>
  <c r="B15" i="6" s="1"/>
  <c r="B14" i="6"/>
  <c r="B16" i="6" s="1"/>
  <c r="C12" i="6" s="1"/>
  <c r="B5" i="6"/>
  <c r="B6" i="6"/>
  <c r="B7" i="6"/>
  <c r="B8" i="6"/>
  <c r="G5" i="3"/>
  <c r="G7" i="3" s="1"/>
  <c r="G9" i="3" s="1"/>
  <c r="G10" i="3" s="1"/>
  <c r="G6" i="3"/>
  <c r="G8" i="3"/>
  <c r="D22" i="3"/>
  <c r="D5" i="3"/>
  <c r="D6" i="3"/>
  <c r="D7" i="3"/>
  <c r="D8" i="3"/>
  <c r="D9" i="3"/>
  <c r="D10" i="3"/>
  <c r="D11" i="3"/>
  <c r="D12" i="3"/>
  <c r="C5" i="3"/>
  <c r="C6" i="3"/>
  <c r="C7" i="3"/>
  <c r="C8" i="3"/>
  <c r="C9" i="3"/>
  <c r="C10" i="3"/>
  <c r="C11" i="3"/>
  <c r="C12" i="3"/>
  <c r="E9" i="1"/>
  <c r="E8" i="1"/>
  <c r="E5" i="1"/>
  <c r="E6" i="1"/>
  <c r="E7" i="1"/>
  <c r="B7" i="1"/>
  <c r="B8" i="1"/>
  <c r="B10" i="4" l="1"/>
  <c r="B13" i="4" s="1"/>
  <c r="B5" i="5" s="1"/>
  <c r="B14" i="5" s="1"/>
  <c r="J10" i="4"/>
  <c r="K10" i="4"/>
  <c r="H9" i="4"/>
  <c r="K9" i="4"/>
  <c r="I10" i="4"/>
  <c r="C10" i="4"/>
  <c r="C11" i="4" s="1"/>
  <c r="C15" i="4" s="1"/>
  <c r="B8" i="9"/>
  <c r="H10" i="4"/>
  <c r="H12" i="4" s="1"/>
  <c r="H16" i="4" s="1"/>
  <c r="G9" i="4"/>
  <c r="F9" i="4"/>
  <c r="G10" i="4"/>
  <c r="G11" i="4" s="1"/>
  <c r="G15" i="4" s="1"/>
  <c r="C8" i="9"/>
  <c r="C9" i="4"/>
  <c r="E12" i="1"/>
  <c r="B12" i="9"/>
  <c r="B23" i="7"/>
  <c r="D11" i="4"/>
  <c r="D15" i="4" s="1"/>
  <c r="D14" i="4"/>
  <c r="D13" i="4"/>
  <c r="D5" i="5" s="1"/>
  <c r="D14" i="5" s="1"/>
  <c r="D12" i="4"/>
  <c r="D16" i="4" s="1"/>
  <c r="J12" i="4"/>
  <c r="J16" i="4" s="1"/>
  <c r="J14" i="4"/>
  <c r="J13" i="4"/>
  <c r="J5" i="5" s="1"/>
  <c r="J14" i="5" s="1"/>
  <c r="J11" i="4"/>
  <c r="J15" i="4" s="1"/>
  <c r="G12" i="4"/>
  <c r="G16" i="4" s="1"/>
  <c r="C12" i="4"/>
  <c r="C16" i="4" s="1"/>
  <c r="I14" i="4"/>
  <c r="I13" i="4"/>
  <c r="I5" i="5" s="1"/>
  <c r="I14" i="5" s="1"/>
  <c r="I12" i="4"/>
  <c r="I16" i="4" s="1"/>
  <c r="I11" i="4"/>
  <c r="I15" i="4" s="1"/>
  <c r="E12" i="4"/>
  <c r="E16" i="4" s="1"/>
  <c r="E11" i="4"/>
  <c r="E15" i="4" s="1"/>
  <c r="E14" i="4"/>
  <c r="E13" i="4"/>
  <c r="E5" i="5" s="1"/>
  <c r="E14" i="5" s="1"/>
  <c r="K11" i="4"/>
  <c r="K15" i="4" s="1"/>
  <c r="K14" i="4"/>
  <c r="K13" i="4"/>
  <c r="K5" i="5" s="1"/>
  <c r="K14" i="5" s="1"/>
  <c r="K12" i="4"/>
  <c r="K16" i="4" s="1"/>
  <c r="H11" i="4"/>
  <c r="H15" i="4" s="1"/>
  <c r="H13" i="4"/>
  <c r="H5" i="5" s="1"/>
  <c r="H14" i="5" s="1"/>
  <c r="F12" i="4"/>
  <c r="F16" i="4" s="1"/>
  <c r="F11" i="4"/>
  <c r="F15" i="4" s="1"/>
  <c r="F14" i="4"/>
  <c r="F13" i="4"/>
  <c r="F5" i="5" s="1"/>
  <c r="F14" i="5" s="1"/>
  <c r="C13" i="6"/>
  <c r="C14" i="6"/>
  <c r="C16" i="6" s="1"/>
  <c r="D12" i="6" s="1"/>
  <c r="B11" i="4" l="1"/>
  <c r="B15" i="4" s="1"/>
  <c r="B12" i="4"/>
  <c r="B16" i="4" s="1"/>
  <c r="B14" i="4"/>
  <c r="C14" i="4"/>
  <c r="C13" i="4"/>
  <c r="C5" i="5" s="1"/>
  <c r="C14" i="5" s="1"/>
  <c r="G13" i="4"/>
  <c r="G5" i="5" s="1"/>
  <c r="G14" i="5" s="1"/>
  <c r="H14" i="4"/>
  <c r="G14" i="4"/>
  <c r="G21" i="4"/>
  <c r="G17" i="4"/>
  <c r="G20" i="4"/>
  <c r="I20" i="4"/>
  <c r="I19" i="4"/>
  <c r="I18" i="4"/>
  <c r="I24" i="4"/>
  <c r="I17" i="4"/>
  <c r="I21" i="4"/>
  <c r="K21" i="4"/>
  <c r="K17" i="4"/>
  <c r="K20" i="4"/>
  <c r="K19" i="4"/>
  <c r="K18" i="4"/>
  <c r="K24" i="4"/>
  <c r="J20" i="4"/>
  <c r="J24" i="4"/>
  <c r="J19" i="4"/>
  <c r="J17" i="4"/>
  <c r="J18" i="4"/>
  <c r="J21" i="4"/>
  <c r="H19" i="4"/>
  <c r="H17" i="4"/>
  <c r="H18" i="4"/>
  <c r="H24" i="4"/>
  <c r="H21" i="4"/>
  <c r="H20" i="4"/>
  <c r="B19" i="4"/>
  <c r="B20" i="4"/>
  <c r="B21" i="4"/>
  <c r="B18" i="4"/>
  <c r="B24" i="4"/>
  <c r="B17" i="4"/>
  <c r="F18" i="4"/>
  <c r="F24" i="4"/>
  <c r="F20" i="4"/>
  <c r="F17" i="4"/>
  <c r="F21" i="4"/>
  <c r="F19" i="4"/>
  <c r="E18" i="4"/>
  <c r="E24" i="4"/>
  <c r="E17" i="4"/>
  <c r="E20" i="4"/>
  <c r="E19" i="4"/>
  <c r="E21" i="4"/>
  <c r="D21" i="4"/>
  <c r="D17" i="4"/>
  <c r="D20" i="4"/>
  <c r="D19" i="4"/>
  <c r="D18" i="4"/>
  <c r="D24" i="4"/>
  <c r="C17" i="4"/>
  <c r="C21" i="4"/>
  <c r="C20" i="4"/>
  <c r="C19" i="4"/>
  <c r="D13" i="6"/>
  <c r="D14" i="6"/>
  <c r="D16" i="6" s="1"/>
  <c r="E12" i="6" s="1"/>
  <c r="C15" i="6"/>
  <c r="G24" i="4" l="1"/>
  <c r="G18" i="4"/>
  <c r="G19" i="4"/>
  <c r="C24" i="4"/>
  <c r="C18" i="4"/>
  <c r="C23" i="4"/>
  <c r="C25" i="4" s="1"/>
  <c r="C6" i="5" s="1"/>
  <c r="C22" i="4"/>
  <c r="B22" i="4"/>
  <c r="B23" i="4"/>
  <c r="B25" i="4" s="1"/>
  <c r="B6" i="5" s="1"/>
  <c r="G23" i="4"/>
  <c r="G25" i="4" s="1"/>
  <c r="G6" i="5" s="1"/>
  <c r="G22" i="4"/>
  <c r="E23" i="4"/>
  <c r="E25" i="4" s="1"/>
  <c r="E6" i="5" s="1"/>
  <c r="E22" i="4"/>
  <c r="I22" i="4"/>
  <c r="I23" i="4"/>
  <c r="I25" i="4" s="1"/>
  <c r="I6" i="5" s="1"/>
  <c r="D23" i="4"/>
  <c r="D25" i="4" s="1"/>
  <c r="D6" i="5" s="1"/>
  <c r="D22" i="4"/>
  <c r="F23" i="4"/>
  <c r="F25" i="4" s="1"/>
  <c r="F6" i="5" s="1"/>
  <c r="F22" i="4"/>
  <c r="K23" i="4"/>
  <c r="K25" i="4" s="1"/>
  <c r="K22" i="4"/>
  <c r="J23" i="4"/>
  <c r="J25" i="4" s="1"/>
  <c r="J6" i="5" s="1"/>
  <c r="J22" i="4"/>
  <c r="H23" i="4"/>
  <c r="H25" i="4" s="1"/>
  <c r="H6" i="5" s="1"/>
  <c r="H22" i="4"/>
  <c r="E13" i="6"/>
  <c r="E14" i="6"/>
  <c r="E16" i="6" s="1"/>
  <c r="F12" i="6" s="1"/>
  <c r="D15" i="6"/>
  <c r="J15" i="5" l="1"/>
  <c r="J8" i="5"/>
  <c r="J10" i="5" s="1"/>
  <c r="C8" i="5"/>
  <c r="C10" i="5" s="1"/>
  <c r="C15" i="5"/>
  <c r="E8" i="5"/>
  <c r="E10" i="5" s="1"/>
  <c r="E15" i="5"/>
  <c r="H8" i="5"/>
  <c r="H10" i="5" s="1"/>
  <c r="H15" i="5"/>
  <c r="G15" i="5"/>
  <c r="G8" i="5"/>
  <c r="G10" i="5" s="1"/>
  <c r="F8" i="5"/>
  <c r="F10" i="5" s="1"/>
  <c r="F15" i="5"/>
  <c r="D8" i="5"/>
  <c r="D10" i="5" s="1"/>
  <c r="D15" i="5"/>
  <c r="I8" i="5"/>
  <c r="I10" i="5" s="1"/>
  <c r="I15" i="5"/>
  <c r="B15" i="5"/>
  <c r="B8" i="5"/>
  <c r="B10" i="5" s="1"/>
  <c r="K6" i="5"/>
  <c r="B8" i="7"/>
  <c r="B9" i="7" s="1"/>
  <c r="B11" i="7" s="1"/>
  <c r="F14" i="6"/>
  <c r="F13" i="6"/>
  <c r="F15" i="6" s="1"/>
  <c r="F16" i="6"/>
  <c r="G12" i="6" s="1"/>
  <c r="E15" i="6"/>
  <c r="F17" i="5" l="1"/>
  <c r="G14" i="7" s="1"/>
  <c r="G26" i="7"/>
  <c r="G11" i="5"/>
  <c r="G12" i="5"/>
  <c r="G13" i="5" s="1"/>
  <c r="H17" i="5"/>
  <c r="I14" i="7" s="1"/>
  <c r="I26" i="7"/>
  <c r="B11" i="5"/>
  <c r="B12" i="5"/>
  <c r="B13" i="5" s="1"/>
  <c r="B17" i="5"/>
  <c r="C26" i="7"/>
  <c r="I11" i="5"/>
  <c r="I12" i="5"/>
  <c r="I13" i="5" s="1"/>
  <c r="C11" i="5"/>
  <c r="C12" i="5"/>
  <c r="C13" i="5" s="1"/>
  <c r="F11" i="5"/>
  <c r="F12" i="5"/>
  <c r="F13" i="5" s="1"/>
  <c r="G17" i="5"/>
  <c r="H14" i="7" s="1"/>
  <c r="H26" i="7"/>
  <c r="K15" i="5"/>
  <c r="K8" i="5"/>
  <c r="K10" i="5" s="1"/>
  <c r="E12" i="5"/>
  <c r="E13" i="5" s="1"/>
  <c r="E11" i="5"/>
  <c r="I17" i="5"/>
  <c r="J14" i="7" s="1"/>
  <c r="J26" i="7"/>
  <c r="C17" i="5"/>
  <c r="D14" i="7" s="1"/>
  <c r="D26" i="7"/>
  <c r="D17" i="5"/>
  <c r="E14" i="7" s="1"/>
  <c r="E26" i="7"/>
  <c r="J11" i="5"/>
  <c r="J12" i="5"/>
  <c r="J13" i="5" s="1"/>
  <c r="H11" i="5"/>
  <c r="H12" i="5"/>
  <c r="H13" i="5" s="1"/>
  <c r="E17" i="5"/>
  <c r="F14" i="7" s="1"/>
  <c r="F26" i="7"/>
  <c r="D12" i="5"/>
  <c r="D13" i="5" s="1"/>
  <c r="D11" i="5"/>
  <c r="J17" i="5"/>
  <c r="K14" i="7" s="1"/>
  <c r="K26" i="7"/>
  <c r="G14" i="6"/>
  <c r="G16" i="6" s="1"/>
  <c r="H12" i="6" s="1"/>
  <c r="G13" i="6"/>
  <c r="K11" i="5" l="1"/>
  <c r="K12" i="5"/>
  <c r="K13" i="5" s="1"/>
  <c r="C14" i="7"/>
  <c r="B18" i="5"/>
  <c r="C18" i="5" s="1"/>
  <c r="D18" i="5" s="1"/>
  <c r="E18" i="5" s="1"/>
  <c r="F18" i="5" s="1"/>
  <c r="G18" i="5" s="1"/>
  <c r="H18" i="5" s="1"/>
  <c r="I18" i="5" s="1"/>
  <c r="J18" i="5" s="1"/>
  <c r="K18" i="5" s="1"/>
  <c r="K17" i="5"/>
  <c r="L14" i="7" s="1"/>
  <c r="L26" i="7"/>
  <c r="B17" i="7" s="1"/>
  <c r="H13" i="6"/>
  <c r="H14" i="6"/>
  <c r="H16" i="6"/>
  <c r="I12" i="6" s="1"/>
  <c r="G15" i="6"/>
  <c r="B19" i="7" l="1"/>
  <c r="C27" i="7"/>
  <c r="D27" i="7" s="1"/>
  <c r="E27" i="7" s="1"/>
  <c r="F27" i="7" s="1"/>
  <c r="G27" i="7" s="1"/>
  <c r="H27" i="7" s="1"/>
  <c r="I27" i="7" s="1"/>
  <c r="J27" i="7" s="1"/>
  <c r="K27" i="7" s="1"/>
  <c r="L27" i="7" s="1"/>
  <c r="I14" i="6"/>
  <c r="I13" i="6"/>
  <c r="I15" i="6" s="1"/>
  <c r="I16" i="6"/>
  <c r="J12" i="6" s="1"/>
  <c r="H15" i="6"/>
  <c r="B22" i="7" l="1"/>
  <c r="C11" i="9"/>
  <c r="D14" i="8"/>
  <c r="E10" i="1"/>
  <c r="B11" i="9"/>
  <c r="J16" i="6"/>
  <c r="K12" i="6" s="1"/>
  <c r="J13" i="6"/>
  <c r="J14" i="6"/>
  <c r="K14" i="6" l="1"/>
  <c r="K16" i="6" s="1"/>
  <c r="K13" i="6"/>
  <c r="K15" i="6" s="1"/>
  <c r="J1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</author>
  </authors>
  <commentList>
    <comment ref="B5" authorId="0" shapeId="0" xr:uid="{5C228965-2429-45A3-B65E-406795E1264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or project identification | As-of: 2026-08-19 | Notes: Confirm legal project name.</t>
        </r>
      </text>
    </comment>
    <comment ref="B6" authorId="0" shapeId="0" xr:uid="{69731263-66E5-47B1-9A95-9E7392B420F8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Enter city and exact project location.</t>
        </r>
      </text>
    </comment>
    <comment ref="B7" authorId="0" shapeId="0" xr:uid="{FD349A65-62B2-42C1-85B1-9DD41563BA6B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Reporting currency | As-of: 2026-08-19 | Notes: Confirm ETB or alternative reporting currency.</t>
        </r>
      </text>
    </comment>
    <comment ref="B8" authorId="0" shapeId="0" xr:uid="{D775D4D1-6C18-41E5-A6D8-B399B510C9B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Template horizon | As-of: 2026-08-19 | Notes: Adjust projection years if required.</t>
        </r>
      </text>
    </comment>
    <comment ref="B9" authorId="0" shapeId="0" xr:uid="{CBD1A524-E5E4-4210-8B19-100525F1315B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User-selected scenario | As-of: 2026-08-19 | Notes: Choose Downside, Base, or Upside.</t>
        </r>
      </text>
    </comment>
    <comment ref="B12" authorId="0" shapeId="0" xr:uid="{5B1019F0-B0E3-4D00-95E7-209F40764226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Enter planned hotel room count.</t>
        </r>
      </text>
    </comment>
    <comment ref="B13" authorId="0" shapeId="0" xr:uid="{C478C860-044F-424D-B97A-954463E0E9C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Source land valuation or acquisition terms.</t>
        </r>
      </text>
    </comment>
    <comment ref="B14" authorId="0" shapeId="0" xr:uid="{FCC4DA2F-EDA1-4B2B-9553-D3A27AC8B56C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Source quantity surveyor or contractor benchmark.</t>
        </r>
      </text>
    </comment>
    <comment ref="B15" authorId="0" shapeId="0" xr:uid="{80B67CCE-0C62-4A19-BF7B-A101CFAC4876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Source FF&amp;E and OS&amp;E budget per key.</t>
        </r>
      </text>
    </comment>
    <comment ref="B16" authorId="0" shapeId="0" xr:uid="{720BF676-FC04-47FF-A8BA-AE0CE1BD9EC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Professional fees as percent of hard cost.</t>
        </r>
      </text>
    </comment>
    <comment ref="B17" authorId="0" shapeId="0" xr:uid="{0DC5D47D-BF73-4E4D-9705-83789313DA49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Enter pre-opening payroll, marketing, training, and launch costs.</t>
        </r>
      </text>
    </comment>
    <comment ref="B18" authorId="0" shapeId="0" xr:uid="{33361BDE-E783-4567-8A67-416B7590ECA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Development contingency percentage.</t>
        </r>
      </text>
    </comment>
    <comment ref="B19" authorId="0" shapeId="0" xr:uid="{10CC1149-170C-4194-86CE-B59E605A62F6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Initial operating working capital.</t>
        </r>
      </text>
    </comment>
    <comment ref="B20" authorId="0" shapeId="0" xr:uid="{9B619094-8F87-47C7-AAD5-09794BAC8913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Accounting policy | As-of: 2026-08-19 | Notes: Confirm depreciable useful life.</t>
        </r>
      </text>
    </comment>
    <comment ref="B23" authorId="0" shapeId="0" xr:uid="{08C5CC48-2B57-499D-9F0C-B14F6668DC90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Opening-year occupancy.</t>
        </r>
      </text>
    </comment>
    <comment ref="B24" authorId="0" shapeId="0" xr:uid="{3BF9297B-B82F-416A-AB02-90AB7412F101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Stabilized occupancy supported by market study.</t>
        </r>
      </text>
    </comment>
    <comment ref="B25" authorId="0" shapeId="0" xr:uid="{9A0652B5-38B5-4949-810D-4AE049E1E733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Ramp-up period | As-of: 2026-08-19 | Notes: Years required to reach stabilized occupancy.</t>
        </r>
      </text>
    </comment>
    <comment ref="B26" authorId="0" shapeId="0" xr:uid="{7E1FFA93-CC30-4EB0-8A6B-F3B64D6BE2E7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Opening-year average daily rate in ETB.</t>
        </r>
      </text>
    </comment>
    <comment ref="B27" authorId="0" shapeId="0" xr:uid="{90C0D012-8FD1-44F5-930B-33FDC4FA1C0D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Annual ADR escalation.</t>
        </r>
      </text>
    </comment>
    <comment ref="B28" authorId="0" shapeId="0" xr:uid="{C53060E0-3603-4114-8B2D-810F622D2BB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F&amp;B revenue as percentage of rooms revenue.</t>
        </r>
      </text>
    </comment>
    <comment ref="B29" authorId="0" shapeId="0" xr:uid="{0A6069F9-B117-4FF8-B7E6-B09F3955A0B4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Other operating revenue as percentage of rooms revenue.</t>
        </r>
      </text>
    </comment>
    <comment ref="B30" authorId="0" shapeId="0" xr:uid="{B3C57263-79D0-43C3-8E18-689971AE847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Rooms departmental expense ratio.</t>
        </r>
      </text>
    </comment>
    <comment ref="B31" authorId="0" shapeId="0" xr:uid="{9616168A-F848-48D0-8231-900D5BA93757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F&amp;B departmental expense ratio.</t>
        </r>
      </text>
    </comment>
    <comment ref="B32" authorId="0" shapeId="0" xr:uid="{E8D0E9F8-9CEB-458B-8DF6-4A66F3D3A7B0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Other departmental expense ratio.</t>
        </r>
      </text>
    </comment>
    <comment ref="B33" authorId="0" shapeId="0" xr:uid="{196D44DF-8CDE-464C-B7DA-DCC9E435E94C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Undistributed operating expense ratio.</t>
        </r>
      </text>
    </comment>
    <comment ref="B34" authorId="0" shapeId="0" xr:uid="{51A36D29-7AD4-4421-A884-FFFF4E63B4C9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Base hotel management fee.</t>
        </r>
      </text>
    </comment>
    <comment ref="B35" authorId="0" shapeId="0" xr:uid="{B0CD33B6-F5DE-4827-A984-717FD32A8A91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Incentive management fee on GOP.</t>
        </r>
      </text>
    </comment>
    <comment ref="B36" authorId="0" shapeId="0" xr:uid="{931897AD-E4EE-4C08-855C-D6DC53BFC96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FF&amp;E reserve as percent of total revenue.</t>
        </r>
      </text>
    </comment>
    <comment ref="B37" authorId="0" shapeId="0" xr:uid="{85D2ADA7-E424-4112-A514-5FB02CB7F767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Working capital investment on revenue growth.</t>
        </r>
      </text>
    </comment>
    <comment ref="B40" authorId="0" shapeId="0" xr:uid="{CEC7532A-2E6A-4BE6-A1DD-1000C49FE38D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Senior debt share of total development cost.</t>
        </r>
      </text>
    </comment>
    <comment ref="B41" authorId="0" shapeId="0" xr:uid="{5D1529FF-7DED-4E16-AB05-DE1802858F3A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Annual debt interest rate.</t>
        </r>
      </text>
    </comment>
    <comment ref="B42" authorId="0" shapeId="0" xr:uid="{E5E1D7DA-D168-4D95-A9B5-A4BB08ACE04A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Financing term | As-of: 2026-08-19 | Notes: Confirm debt tenor.</t>
        </r>
      </text>
    </comment>
    <comment ref="B43" authorId="0" shapeId="0" xr:uid="{2E1470FD-5302-4854-B94C-98E843AC7E18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Financing term | As-of: 2026-08-19 | Notes: Confirm principal grace period.</t>
        </r>
      </text>
    </comment>
    <comment ref="B44" authorId="0" shapeId="0" xr:uid="{61964BCF-5B69-42FC-8D1C-ED7D5834C36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Upfront and arrangement fees as percent of debt.</t>
        </r>
      </text>
    </comment>
    <comment ref="B45" authorId="0" shapeId="0" xr:uid="{947FA659-2386-4495-BFA9-D462F43249A4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Confirm applicable Ethiopian corporate income tax treatment.</t>
        </r>
      </text>
    </comment>
    <comment ref="B46" authorId="0" shapeId="0" xr:uid="{450676DE-2F15-4633-B2BC-2237C77FDC92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Investor required return / discount rate.</t>
        </r>
      </text>
    </comment>
    <comment ref="B47" authorId="0" shapeId="0" xr:uid="{01BA193D-C30C-4D8C-A96C-F5BD3E3927E1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Terminal capitalization rate supported by transaction evidence.</t>
        </r>
      </text>
    </comment>
    <comment ref="B48" authorId="0" shapeId="0" xr:uid="{0F413DDE-7F48-4656-A9FB-8F5B91D0B0B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User input required | As-of: 2026-08-19 | Notes: Selling and transaction costs on exit.</t>
        </r>
      </text>
    </comment>
    <comment ref="B49" authorId="0" shapeId="0" xr:uid="{68DA8819-9EBB-484F-8DE3-4EECFCC55E0B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Investment hurdle | As-of: 2026-08-19 | Notes: Minimum acceptable equity IRR.</t>
        </r>
      </text>
    </comment>
    <comment ref="B50" authorId="0" shapeId="0" xr:uid="{07A418CB-B216-43A6-939A-2E2B0ABA0642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Investment hurdle | As-of: 2026-08-19 | Notes: Maximum acceptable equity payback period.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<sst xmlns="http://schemas.openxmlformats.org/spreadsheetml/2006/main" count="406" uniqueCount="262">
  <si>
    <t>PAYBACK ETHIOPIA FIVE-STAR HOTEL</t>
  </si>
  <si>
    <t>Feasibility Study &amp; Investment Appraisal Template</t>
  </si>
  <si>
    <t>Project</t>
  </si>
  <si>
    <t>Payback Ethiopia Five-Star Hotel</t>
  </si>
  <si>
    <t>Country</t>
  </si>
  <si>
    <t>Ethiopia</t>
  </si>
  <si>
    <t>Purpose</t>
  </si>
  <si>
    <t>Hotel development feasibility and payback assessment</t>
  </si>
  <si>
    <t>Currency</t>
  </si>
  <si>
    <t>Scenario</t>
  </si>
  <si>
    <t>Updated</t>
  </si>
  <si>
    <t>Key Decision Outputs</t>
  </si>
  <si>
    <t>Total development cost</t>
  </si>
  <si>
    <t>Debt funding</t>
  </si>
  <si>
    <t>Equity funding</t>
  </si>
  <si>
    <t>Stabilized occupancy</t>
  </si>
  <si>
    <t>Year 1 ADR</t>
  </si>
  <si>
    <t>Equity IRR</t>
  </si>
  <si>
    <t>Equity NPV</t>
  </si>
  <si>
    <t>Equity payback</t>
  </si>
  <si>
    <t>Workbook Guide</t>
  </si>
  <si>
    <t>Tab</t>
  </si>
  <si>
    <t>Assumptions</t>
  </si>
  <si>
    <t>Editable project, market, operating, financing, and valuation inputs</t>
  </si>
  <si>
    <t>Development</t>
  </si>
  <si>
    <t>Development budget and sources &amp; uses</t>
  </si>
  <si>
    <t>Operations</t>
  </si>
  <si>
    <t>10-year room, revenue, expense, GOP, and EBITDA forecast</t>
  </si>
  <si>
    <t>Financials</t>
  </si>
  <si>
    <t>Profit, tax, CFADS, equity cash flow, and cumulative cash flow</t>
  </si>
  <si>
    <t>Financing</t>
  </si>
  <si>
    <t>Debt sizing, interest, principal, and balance roll-forward</t>
  </si>
  <si>
    <t>Returns</t>
  </si>
  <si>
    <t>Project and equity IRR, NPV, terminal value, and payback</t>
  </si>
  <si>
    <t>Sensitivity</t>
  </si>
  <si>
    <t>Scenario and two-way sensitivity setup</t>
  </si>
  <si>
    <t>Checks</t>
  </si>
  <si>
    <t>Model controls and completion tests</t>
  </si>
  <si>
    <t>Sources</t>
  </si>
  <si>
    <t>Input provenance and benchmarking log</t>
  </si>
  <si>
    <t>ASSUMPTIONS</t>
  </si>
  <si>
    <t>Blue cells are editable. Replace zero placeholders with project-specific data.</t>
  </si>
  <si>
    <t>General Project Inputs</t>
  </si>
  <si>
    <t>Value</t>
  </si>
  <si>
    <t>Units / Notes</t>
  </si>
  <si>
    <t>Project name</t>
  </si>
  <si>
    <t>Text</t>
  </si>
  <si>
    <t>Location</t>
  </si>
  <si>
    <t>To be confirmed, Ethiopia</t>
  </si>
  <si>
    <t>City / region</t>
  </si>
  <si>
    <t>ETB</t>
  </si>
  <si>
    <t>Reporting currency</t>
  </si>
  <si>
    <t>Projection years</t>
  </si>
  <si>
    <t>Years</t>
  </si>
  <si>
    <t>Base</t>
  </si>
  <si>
    <t>Downside / Base / Upside</t>
  </si>
  <si>
    <t>Development Inputs</t>
  </si>
  <si>
    <t>Number of keys / rooms</t>
  </si>
  <si>
    <t>Rooms</t>
  </si>
  <si>
    <t>Land acquisition cost</t>
  </si>
  <si>
    <t>Hard construction cost per key</t>
  </si>
  <si>
    <t>ETB / key</t>
  </si>
  <si>
    <t>FF&amp;E and OS&amp;E cost per key</t>
  </si>
  <si>
    <t>Professional fees</t>
  </si>
  <si>
    <t>% of hard cost</t>
  </si>
  <si>
    <t>Pre-opening expenses</t>
  </si>
  <si>
    <t>Development contingency</t>
  </si>
  <si>
    <t>% of hard + FF&amp;E</t>
  </si>
  <si>
    <t>Initial working capital</t>
  </si>
  <si>
    <t>Depreciable useful life</t>
  </si>
  <si>
    <t>Operating Inputs</t>
  </si>
  <si>
    <t>Year 1 occupancy</t>
  </si>
  <si>
    <t>%</t>
  </si>
  <si>
    <t>Occupancy ramp period</t>
  </si>
  <si>
    <t>ETB / occupied room</t>
  </si>
  <si>
    <t>ADR annual growth</t>
  </si>
  <si>
    <t>F&amp;B revenue</t>
  </si>
  <si>
    <t>% of rooms revenue</t>
  </si>
  <si>
    <t>Other operating revenue</t>
  </si>
  <si>
    <t>Rooms department expense</t>
  </si>
  <si>
    <t>F&amp;B department expense</t>
  </si>
  <si>
    <t>% of F&amp;B revenue</t>
  </si>
  <si>
    <t>Other department expense</t>
  </si>
  <si>
    <t>% of other revenue</t>
  </si>
  <si>
    <t>Undistributed operating expense</t>
  </si>
  <si>
    <t>% of total revenue</t>
  </si>
  <si>
    <t>Base management fee</t>
  </si>
  <si>
    <t>Incentive management fee</t>
  </si>
  <si>
    <t>% of GOP</t>
  </si>
  <si>
    <t>FF&amp;E reserve</t>
  </si>
  <si>
    <t>Working capital investment</t>
  </si>
  <si>
    <t>% of revenue increase</t>
  </si>
  <si>
    <t>Financing &amp; Valuation Inputs</t>
  </si>
  <si>
    <t>% of development cost</t>
  </si>
  <si>
    <t>Interest rate</t>
  </si>
  <si>
    <t>% per year</t>
  </si>
  <si>
    <t>Debt tenor</t>
  </si>
  <si>
    <t>Principal grace period</t>
  </si>
  <si>
    <t>Financing fees</t>
  </si>
  <si>
    <t>% of debt</t>
  </si>
  <si>
    <t>Corporate income tax</t>
  </si>
  <si>
    <t>Discount rate / required return</t>
  </si>
  <si>
    <t>Terminal capitalization rate</t>
  </si>
  <si>
    <t>Exit selling costs</t>
  </si>
  <si>
    <t>% of terminal value</t>
  </si>
  <si>
    <t>Minimum target equity IRR</t>
  </si>
  <si>
    <t>Maximum target payback</t>
  </si>
  <si>
    <t>DEVELOPMENT BUDGET</t>
  </si>
  <si>
    <t>Hotel development cost build and sources &amp; uses.</t>
  </si>
  <si>
    <t>Cost Item</t>
  </si>
  <si>
    <t>Basis</t>
  </si>
  <si>
    <t>Rate / Input</t>
  </si>
  <si>
    <t>Amount (ETB)</t>
  </si>
  <si>
    <t>Land acquisition</t>
  </si>
  <si>
    <t>Direct input</t>
  </si>
  <si>
    <t>Hard construction</t>
  </si>
  <si>
    <t>Keys x cost per key</t>
  </si>
  <si>
    <t>FF&amp;E and OS&amp;E</t>
  </si>
  <si>
    <t>% of hard construction</t>
  </si>
  <si>
    <t>Debt % x fee %</t>
  </si>
  <si>
    <t>Total Development Cost</t>
  </si>
  <si>
    <t>Sources &amp; Uses</t>
  </si>
  <si>
    <t>Senior debt</t>
  </si>
  <si>
    <t>Sponsor equity</t>
  </si>
  <si>
    <t>Total sources</t>
  </si>
  <si>
    <t>Sources less uses</t>
  </si>
  <si>
    <t>Check</t>
  </si>
  <si>
    <t>FINANCING SCHEDULE</t>
  </si>
  <si>
    <t>Senior debt sizing and annual repayment schedule.</t>
  </si>
  <si>
    <t>Funding Summary</t>
  </si>
  <si>
    <t>Amount / Rate</t>
  </si>
  <si>
    <t>Debt / total cost</t>
  </si>
  <si>
    <t>Financing fee</t>
  </si>
  <si>
    <t>Debt Schedule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</si>
  <si>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</si>
  <si>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</si>
  <si>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</si>
  <si>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</si>
  <si>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</si>
  <si>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</si>
  <si>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</si>
  <si>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</si>
  <si>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</si>
  <si>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</si>
  <si>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Opening debt balance</t>
  </si>
  <si>
    <t>Interest expense</t>
  </si>
  <si>
    <t>Scheduled principal</t>
  </si>
  <si>
    <t>Debt service</t>
  </si>
  <si>
    <t>Ending debt balance</t>
  </si>
  <si>
    <t>OPERATING FORECAST</t>
  </si>
  <si>
    <t>10-year hotel operating forecast; replace year labels with calendar years if required.</t>
  </si>
  <si>
    <t>Operating Metric</t>
  </si>
  <si>
    <t>Available room nights</t>
  </si>
  <si>
    <t>Occupancy</t>
  </si>
  <si>
    <t>Occupied room nights</t>
  </si>
  <si>
    <t>Average daily rate (ADR)</t>
  </si>
  <si>
    <t>RevPAR</t>
  </si>
  <si>
    <t>Rooms revenue</t>
  </si>
  <si>
    <t>Total Revenue</t>
  </si>
  <si>
    <t>Total departmental expenses</t>
  </si>
  <si>
    <t>Departmental profit</t>
  </si>
  <si>
    <t>Undistributed operating expenses</t>
  </si>
  <si>
    <t>Gross Operating Profit (GOP)</t>
  </si>
  <si>
    <t>EBITDA before FF&amp;E reserve</t>
  </si>
  <si>
    <t>EBITDA after FF&amp;E reserve</t>
  </si>
  <si>
    <t>FINANCIAL PROJECTIONS</t>
  </si>
  <si>
    <t>Income, CFADS, debt repayment, and equity cash flow.</t>
  </si>
  <si>
    <t>Financial Metric</t>
  </si>
  <si>
    <t>Total revenue</t>
  </si>
  <si>
    <t>Depreciation</t>
  </si>
  <si>
    <t>EBIT</t>
  </si>
  <si>
    <t>Earnings before tax</t>
  </si>
  <si>
    <t>Income tax</t>
  </si>
  <si>
    <t>Net income</t>
  </si>
  <si>
    <t>Add back depreciation</t>
  </si>
  <si>
    <t>Change in working capital</t>
  </si>
  <si>
    <t>CFADS</t>
  </si>
  <si>
    <t>Equity cash flow</t>
  </si>
  <si>
    <t>Cumulative equity cash flow</t>
  </si>
  <si>
    <t>INVESTMENT RETURNS</t>
  </si>
  <si>
    <t>Project and equity returns, terminal value, and payback.</t>
  </si>
  <si>
    <t>Investment Summary</t>
  </si>
  <si>
    <t>Year 10 terminal property value</t>
  </si>
  <si>
    <t>Less: exit selling costs</t>
  </si>
  <si>
    <t>Less: ending debt</t>
  </si>
  <si>
    <t>Net terminal equity proceeds</t>
  </si>
  <si>
    <t>Equity Cash Flow</t>
  </si>
  <si>
    <t>Year 0</t>
  </si>
  <si>
    <t>Base equity cash flow</t>
  </si>
  <si>
    <t>Return Metric</t>
  </si>
  <si>
    <t>Result</t>
  </si>
  <si>
    <t>Project IRR</t>
  </si>
  <si>
    <t>Project NPV</t>
  </si>
  <si>
    <t>IRR target test</t>
  </si>
  <si>
    <t>Payback target test</t>
  </si>
  <si>
    <t>Project Cash Flow</t>
  </si>
  <si>
    <t>Project free cash flow</t>
  </si>
  <si>
    <t>SENSITIVITY &amp; SCENARIOS</t>
  </si>
  <si>
    <t>Scenario framing and two-way sensitivity setup.</t>
  </si>
  <si>
    <t>Occupancy Multiplier</t>
  </si>
  <si>
    <t>ADR Multiplier</t>
  </si>
  <si>
    <t>Development Cost Multiplier</t>
  </si>
  <si>
    <t>Debt Rate Change</t>
  </si>
  <si>
    <t>Downside</t>
  </si>
  <si>
    <t>Upside</t>
  </si>
  <si>
    <t>Two-Way Equity IRR Sensitivity Setup</t>
  </si>
  <si>
    <t>ADR -10%</t>
  </si>
  <si>
    <t>ADR -5%</t>
  </si>
  <si>
    <t>Base ADR</t>
  </si>
  <si>
    <t>ADR +5%</t>
  </si>
  <si>
    <t>ADR +10%</t>
  </si>
  <si>
    <t>Occupancy -10%</t>
  </si>
  <si>
    <t>TBD</t>
  </si>
  <si>
    <t>Occupancy -5%</t>
  </si>
  <si>
    <t>Base occupancy</t>
  </si>
  <si>
    <t>Occupancy +5%</t>
  </si>
  <si>
    <t>Occupancy +10%</t>
  </si>
  <si>
    <t>Instruction: after assumptions are completed, use Excel What-If Data Table with ADR and stabilized occupancy as row/column inputs.</t>
  </si>
  <si>
    <t>MODEL CHECKS</t>
  </si>
  <si>
    <t>Resolve all FAIL and WARN items before investment approval.</t>
  </si>
  <si>
    <t>Status</t>
  </si>
  <si>
    <t>Measured Value</t>
  </si>
  <si>
    <t>Explanation</t>
  </si>
  <si>
    <t>Key project inputs completed</t>
  </si>
  <si>
    <t>Sources equal uses</t>
  </si>
  <si>
    <t>Debt roll-forward closes</t>
  </si>
  <si>
    <t>Occupancy not above 100%</t>
  </si>
  <si>
    <t>Terminal cap rate entered</t>
  </si>
  <si>
    <t>Discount rate entered</t>
  </si>
  <si>
    <t>Equity return calculated</t>
  </si>
  <si>
    <t>Payback calculated</t>
  </si>
  <si>
    <t>Count of remaining zero numeric assumptions</t>
  </si>
  <si>
    <t>Must equal zero</t>
  </si>
  <si>
    <t>Ending debt should close by or after stated tenor</t>
  </si>
  <si>
    <t>Must remain at or below 100%</t>
  </si>
  <si>
    <t>Required for terminal property value</t>
  </si>
  <si>
    <t>Required for NPV</t>
  </si>
  <si>
    <t>Requires operating and financing inputs</t>
  </si>
  <si>
    <t>Requires cumulative equity cash flow to turn positive</t>
  </si>
  <si>
    <t>SOURCES &amp; ASSUMPTIONS LOG</t>
  </si>
  <si>
    <t>Document every material input used in the feasibility study.</t>
  </si>
  <si>
    <t>Item</t>
  </si>
  <si>
    <t>Units</t>
  </si>
  <si>
    <t>Period / As-of</t>
  </si>
  <si>
    <t>Source URL</t>
  </si>
  <si>
    <t>Source Name</t>
  </si>
  <si>
    <t>Reference</t>
  </si>
  <si>
    <t>Notes</t>
  </si>
  <si>
    <t>Accessed</t>
  </si>
  <si>
    <t>Land cost</t>
  </si>
  <si>
    <t>Construction cost per key</t>
  </si>
  <si>
    <t>FF&amp;E / OS&amp;E per key</t>
  </si>
  <si>
    <t>Comparable hotel occupancy</t>
  </si>
  <si>
    <t>Comparable hotel ADR</t>
  </si>
  <si>
    <t>F&amp;B revenue benchmark</t>
  </si>
  <si>
    <t>% rooms revenue</t>
  </si>
  <si>
    <t>Operating expense benchmarks</t>
  </si>
  <si>
    <t>% revenue</t>
  </si>
  <si>
    <t>Debt pricing and terms</t>
  </si>
  <si>
    <t>% / years</t>
  </si>
  <si>
    <t>Tax rate</t>
  </si>
  <si>
    <t>Terminal cap rate / exit evidence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</si>
</sst>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;\-"/>
    <numFmt numFmtId="165" formatCode="0.0%"/>
    <numFmt numFmtId="166" formatCode="0.00\x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666666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00800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1D2330"/>
        <bgColor indexed="64"/>
      </patternFill>
    </fill>
    <fill>
      <patternFill patternType="solid">
        <fgColor rgb="FFE2E3E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CE4D6"/>
        <bgColor indexed="64"/>
      </patternFill>
    </fill>
  </fills>
  <borders count="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14" fontId="0" fillId="0" borderId="0" xfId="0" applyNumberFormat="1"/>
    <xf numFmtId="0" fontId="1" fillId="0" borderId="0" xfId="0" applyFont="1"/>
    <xf numFmtId="0" fontId="1" fillId="3" borderId="0" xfId="0" applyFont="1" applyFill="1"/>
    <xf numFmtId="164" fontId="1" fillId="0" borderId="0" xfId="0" applyNumberFormat="1" applyFont="1"/>
    <xf numFmtId="165" fontId="1" fillId="0" borderId="0" xfId="0" applyNumberFormat="1" applyFont="1"/>
    <xf numFmtId="3" fontId="1" fillId="0" borderId="0" xfId="0" applyNumberFormat="1" applyFont="1"/>
    <xf numFmtId="0" fontId="6" fillId="4" borderId="0" xfId="0" applyFont="1" applyFill="1"/>
    <xf numFmtId="3" fontId="6" fillId="4" borderId="0" xfId="0" applyNumberFormat="1" applyFont="1" applyFill="1"/>
    <xf numFmtId="165" fontId="6" fillId="4" borderId="0" xfId="0" applyNumberFormat="1" applyFont="1" applyFill="1"/>
    <xf numFmtId="165" fontId="0" fillId="0" borderId="0" xfId="0" applyNumberFormat="1"/>
    <xf numFmtId="3" fontId="0" fillId="0" borderId="0" xfId="0" applyNumberFormat="1"/>
    <xf numFmtId="0" fontId="2" fillId="2" borderId="0" xfId="0" applyFont="1" applyFill="1"/>
    <xf numFmtId="0" fontId="1" fillId="0" borderId="1" xfId="0" applyFont="1" applyBorder="1"/>
    <xf numFmtId="3" fontId="7" fillId="0" borderId="0" xfId="0" applyNumberFormat="1" applyFont="1"/>
    <xf numFmtId="0" fontId="7" fillId="0" borderId="0" xfId="0" applyFont="1"/>
    <xf numFmtId="164" fontId="0" fillId="0" borderId="0" xfId="0" applyNumberFormat="1"/>
    <xf numFmtId="164" fontId="1" fillId="0" borderId="1" xfId="0" applyNumberFormat="1" applyFont="1" applyBorder="1"/>
    <xf numFmtId="166" fontId="0" fillId="5" borderId="0" xfId="0" applyNumberFormat="1" applyFill="1"/>
    <xf numFmtId="165" fontId="0" fillId="5" borderId="0" xfId="0" applyNumberFormat="1" applyFill="1"/>
    <xf numFmtId="0" fontId="0" fillId="0" borderId="0" xfId="0" applyNumberFormat="1"/>
    <xf numFmtId="0" fontId="4" fillId="0" borderId="2" xfId="0" applyFont="1" applyBorder="1"/>
    <xf numFmtId="0" fontId="0" fillId="0" borderId="2" xfId="0" applyBorder="1"/>
    <xf numFmtId="0" fontId="1" fillId="3" borderId="2" xfId="0" applyFont="1" applyFill="1" applyBorder="1"/>
    <xf numFmtId="165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/>
    <xf numFmtId="164" fontId="1" fillId="0" borderId="2" xfId="0" applyNumberFormat="1" applyFont="1" applyBorder="1"/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5A9E0E5-7185-4F06-B0A7-6500057D6464}">
  <we:reference id="wa200010215" version="2.0.0.0" store="en-US" storeType="OMEX"/>
  <we:alternateReferences>
    <we:reference id="wa200010215" version="2.0.0.0" store="WA200010215" storeType="OMEX"/>
  </we:alternateReferences>
  <we:properties>
    <we:property name="bps.codex_control.document_id" value="&quot;5cc017d3-2b2f-402d-91e3-0c1a0d82855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DF7B-78DA-45AB-81A8-F25A2AE2EB7D}">
  <dimension ref="A1:H24"/>
  <sheetViews>
    <sheetView showGridLines="0" view="pageBreakPreview" zoomScale="60" zoomScaleNormal="90" workbookViewId="0">
      <selection activeCell="D20" sqref="D20"/>
    </sheetView>
  </sheetViews>
  <sheetFormatPr defaultRowHeight="14.5" x14ac:dyDescent="0.35"/>
  <cols>
    <col min="1" max="1" width="21.81640625" customWidth="1"/>
    <col min="2" max="2" width="54.54296875" customWidth="1"/>
    <col min="4" max="4" width="29.08984375" customWidth="1"/>
    <col min="5" max="5" width="21.81640625" customWidth="1"/>
  </cols>
  <sheetData>
    <row r="1" spans="1:8" ht="21" x14ac:dyDescent="0.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35">
      <c r="A2" s="4" t="s">
        <v>1</v>
      </c>
      <c r="B2" s="4"/>
      <c r="C2" s="4"/>
      <c r="D2" s="4"/>
      <c r="E2" s="4"/>
      <c r="F2" s="4"/>
      <c r="G2" s="4"/>
      <c r="H2" s="4"/>
    </row>
    <row r="4" spans="1:8" x14ac:dyDescent="0.35">
      <c r="A4" s="6" t="s">
        <v>2</v>
      </c>
      <c r="B4" t="s">
        <v>3</v>
      </c>
      <c r="D4" s="7" t="s">
        <v>11</v>
      </c>
      <c r="E4" s="7"/>
    </row>
    <row r="5" spans="1:8" x14ac:dyDescent="0.35">
      <c r="A5" s="6" t="s">
        <v>4</v>
      </c>
      <c r="B5" t="s">
        <v>5</v>
      </c>
      <c r="D5" s="6" t="s">
        <v>12</v>
      </c>
      <c r="E5" s="8">
        <f>Development!D22</f>
        <v>0</v>
      </c>
    </row>
    <row r="6" spans="1:8" x14ac:dyDescent="0.35">
      <c r="A6" s="6" t="s">
        <v>6</v>
      </c>
      <c r="B6" t="s">
        <v>7</v>
      </c>
      <c r="D6" s="6" t="s">
        <v>13</v>
      </c>
      <c r="E6" s="8">
        <f>Financing!B5</f>
        <v>0</v>
      </c>
    </row>
    <row r="7" spans="1:8" x14ac:dyDescent="0.35">
      <c r="A7" s="6" t="s">
        <v>8</v>
      </c>
      <c r="B7" t="str">
        <f>Assumptions!B7</f>
        <v>ETB</v>
      </c>
      <c r="D7" s="6" t="s">
        <v>14</v>
      </c>
      <c r="E7" s="8">
        <f>Financing!B6</f>
        <v>0</v>
      </c>
    </row>
    <row r="8" spans="1:8" x14ac:dyDescent="0.35">
      <c r="A8" s="6" t="s">
        <v>9</v>
      </c>
      <c r="B8" t="str">
        <f>Assumptions!B9</f>
        <v>Base</v>
      </c>
      <c r="D8" s="6" t="s">
        <v>15</v>
      </c>
      <c r="E8" s="9">
        <f>Assumptions!B24</f>
        <v>0</v>
      </c>
    </row>
    <row r="9" spans="1:8" x14ac:dyDescent="0.35">
      <c r="A9" s="6" t="s">
        <v>10</v>
      </c>
      <c r="B9" s="5">
        <v>46253</v>
      </c>
      <c r="D9" s="6" t="s">
        <v>16</v>
      </c>
      <c r="E9" s="10">
        <f>Assumptions!B26</f>
        <v>0</v>
      </c>
    </row>
    <row r="10" spans="1:8" x14ac:dyDescent="0.35">
      <c r="D10" s="6" t="s">
        <v>17</v>
      </c>
      <c r="E10" s="9" t="str">
        <f>Returns!B19</f>
        <v/>
      </c>
    </row>
    <row r="11" spans="1:8" x14ac:dyDescent="0.35">
      <c r="D11" s="6" t="s">
        <v>18</v>
      </c>
      <c r="E11" s="8" t="str">
        <f>Returns!B20</f>
        <v/>
      </c>
    </row>
    <row r="12" spans="1:8" x14ac:dyDescent="0.35">
      <c r="D12" s="6" t="s">
        <v>19</v>
      </c>
      <c r="E12" s="6" t="str">
        <f>Returns!B21</f>
        <v>Inputs required</v>
      </c>
    </row>
    <row r="14" spans="1:8" x14ac:dyDescent="0.35">
      <c r="A14" s="41" t="s">
        <v>20</v>
      </c>
      <c r="B14" s="41"/>
      <c r="C14" s="41"/>
      <c r="D14" s="41"/>
      <c r="E14" s="41"/>
      <c r="F14" s="41"/>
      <c r="G14" s="41"/>
      <c r="H14" s="41"/>
    </row>
    <row r="15" spans="1:8" x14ac:dyDescent="0.35">
      <c r="A15" s="7" t="s">
        <v>21</v>
      </c>
      <c r="B15" s="7" t="s">
        <v>6</v>
      </c>
    </row>
    <row r="16" spans="1:8" x14ac:dyDescent="0.35">
      <c r="A16" s="6" t="s">
        <v>22</v>
      </c>
      <c r="B16" t="s">
        <v>23</v>
      </c>
    </row>
    <row r="17" spans="1:2" x14ac:dyDescent="0.35">
      <c r="A17" s="6" t="s">
        <v>24</v>
      </c>
      <c r="B17" t="s">
        <v>25</v>
      </c>
    </row>
    <row r="18" spans="1:2" x14ac:dyDescent="0.35">
      <c r="A18" s="6" t="s">
        <v>26</v>
      </c>
      <c r="B18" t="s">
        <v>27</v>
      </c>
    </row>
    <row r="19" spans="1:2" x14ac:dyDescent="0.35">
      <c r="A19" s="6" t="s">
        <v>28</v>
      </c>
      <c r="B19" t="s">
        <v>29</v>
      </c>
    </row>
    <row r="20" spans="1:2" x14ac:dyDescent="0.35">
      <c r="A20" s="6" t="s">
        <v>30</v>
      </c>
      <c r="B20" t="s">
        <v>31</v>
      </c>
    </row>
    <row r="21" spans="1:2" x14ac:dyDescent="0.35">
      <c r="A21" s="6" t="s">
        <v>32</v>
      </c>
      <c r="B21" t="s">
        <v>33</v>
      </c>
    </row>
    <row r="22" spans="1:2" x14ac:dyDescent="0.35">
      <c r="A22" s="6" t="s">
        <v>34</v>
      </c>
      <c r="B22" t="s">
        <v>35</v>
      </c>
    </row>
    <row r="23" spans="1:2" x14ac:dyDescent="0.35">
      <c r="A23" s="6" t="s">
        <v>36</v>
      </c>
      <c r="B23" t="s">
        <v>37</v>
      </c>
    </row>
    <row r="24" spans="1:2" x14ac:dyDescent="0.35">
      <c r="A24" s="6" t="s">
        <v>38</v>
      </c>
      <c r="B24" t="s">
        <v>39</v>
      </c>
    </row>
  </sheetData>
  <mergeCells count="3">
    <mergeCell ref="A1:H1"/>
    <mergeCell ref="A2:H2"/>
    <mergeCell ref="A14:H14"/>
  </mergeCells>
  <pageMargins left="0.7" right="0.7" top="0.75" bottom="0.75" header="0.3" footer="0.3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9E58-6C9B-42FF-85BE-5081232F471F}">
  <dimension ref="A1:L14"/>
  <sheetViews>
    <sheetView showGridLines="0" view="pageBreakPreview" zoomScale="60" zoomScaleNormal="100" workbookViewId="0">
      <selection sqref="A1:L1"/>
    </sheetView>
  </sheetViews>
  <sheetFormatPr defaultRowHeight="14.5" x14ac:dyDescent="0.35"/>
  <cols>
    <col min="1" max="1" width="34.54296875" customWidth="1"/>
    <col min="2" max="4" width="19.08984375" customWidth="1"/>
    <col min="5" max="5" width="40" customWidth="1"/>
    <col min="6" max="8" width="28.1796875" customWidth="1"/>
    <col min="9" max="9" width="17.26953125" customWidth="1"/>
  </cols>
  <sheetData>
    <row r="1" spans="1:12" ht="21" x14ac:dyDescent="0.5">
      <c r="A1" s="2" t="s">
        <v>239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x14ac:dyDescent="0.35">
      <c r="A4" s="7" t="s">
        <v>241</v>
      </c>
      <c r="B4" s="7" t="s">
        <v>43</v>
      </c>
      <c r="C4" s="7" t="s">
        <v>242</v>
      </c>
      <c r="D4" s="7" t="s">
        <v>243</v>
      </c>
      <c r="E4" s="7" t="s">
        <v>244</v>
      </c>
      <c r="F4" s="7" t="s">
        <v>245</v>
      </c>
      <c r="G4" s="7" t="s">
        <v>246</v>
      </c>
      <c r="H4" s="7" t="s">
        <v>247</v>
      </c>
      <c r="I4" s="7" t="s">
        <v>248</v>
      </c>
    </row>
    <row r="5" spans="1:12" x14ac:dyDescent="0.35">
      <c r="A5" t="s">
        <v>249</v>
      </c>
      <c r="C5" t="s">
        <v>50</v>
      </c>
      <c r="H5" t="s">
        <v>212</v>
      </c>
    </row>
    <row r="6" spans="1:12" x14ac:dyDescent="0.35">
      <c r="A6" t="s">
        <v>250</v>
      </c>
      <c r="C6" t="s">
        <v>61</v>
      </c>
      <c r="H6" t="s">
        <v>212</v>
      </c>
    </row>
    <row r="7" spans="1:12" x14ac:dyDescent="0.35">
      <c r="A7" t="s">
        <v>251</v>
      </c>
      <c r="C7" t="s">
        <v>61</v>
      </c>
      <c r="H7" t="s">
        <v>212</v>
      </c>
    </row>
    <row r="8" spans="1:12" x14ac:dyDescent="0.35">
      <c r="A8" t="s">
        <v>252</v>
      </c>
      <c r="C8" t="s">
        <v>72</v>
      </c>
      <c r="H8" t="s">
        <v>212</v>
      </c>
    </row>
    <row r="9" spans="1:12" x14ac:dyDescent="0.35">
      <c r="A9" t="s">
        <v>253</v>
      </c>
      <c r="C9" t="s">
        <v>50</v>
      </c>
      <c r="H9" t="s">
        <v>212</v>
      </c>
    </row>
    <row r="10" spans="1:12" x14ac:dyDescent="0.35">
      <c r="A10" t="s">
        <v>254</v>
      </c>
      <c r="C10" t="s">
        <v>255</v>
      </c>
      <c r="H10" t="s">
        <v>212</v>
      </c>
    </row>
    <row r="11" spans="1:12" x14ac:dyDescent="0.35">
      <c r="A11" t="s">
        <v>256</v>
      </c>
      <c r="C11" t="s">
        <v>257</v>
      </c>
      <c r="H11" t="s">
        <v>212</v>
      </c>
    </row>
    <row r="12" spans="1:12" x14ac:dyDescent="0.35">
      <c r="A12" t="s">
        <v>258</v>
      </c>
      <c r="C12" t="s">
        <v>259</v>
      </c>
      <c r="H12" t="s">
        <v>212</v>
      </c>
    </row>
    <row r="13" spans="1:12" x14ac:dyDescent="0.35">
      <c r="A13" t="s">
        <v>260</v>
      </c>
      <c r="C13" t="s">
        <v>72</v>
      </c>
      <c r="H13" t="s">
        <v>212</v>
      </c>
    </row>
    <row r="14" spans="1:12" x14ac:dyDescent="0.35">
      <c r="A14" t="s">
        <v>261</v>
      </c>
      <c r="C14" t="s">
        <v>72</v>
      </c>
      <c r="H14" t="s">
        <v>212</v>
      </c>
    </row>
  </sheetData>
  <mergeCells count="2">
    <mergeCell ref="A1:L1"/>
    <mergeCell ref="A2:L2"/>
  </mergeCells>
  <pageMargins left="0.7" right="0.7" top="0.75" bottom="0.75" header="0.3" footer="0.3"/>
  <pageSetup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ED2F-A1FD-4248-A998-5DF3DAB40E7F}">
  <dimension ref="A1:H56"/>
  <sheetViews>
    <sheetView showGridLines="0" view="pageBreakPreview" zoomScale="60" zoomScaleNormal="100" workbookViewId="0">
      <selection activeCell="L16" sqref="L15:L16"/>
    </sheetView>
  </sheetViews>
  <sheetFormatPr defaultRowHeight="14.5" x14ac:dyDescent="0.35"/>
  <cols>
    <col min="1" max="1" width="45.453125" customWidth="1"/>
    <col min="2" max="2" width="21.81640625" customWidth="1"/>
    <col min="3" max="3" width="32.7265625" customWidth="1"/>
  </cols>
  <sheetData>
    <row r="1" spans="1:8" ht="21" x14ac:dyDescent="0.5">
      <c r="A1" s="39" t="s">
        <v>40</v>
      </c>
      <c r="B1" s="39"/>
      <c r="C1" s="39"/>
      <c r="D1" s="39"/>
      <c r="E1" s="39"/>
      <c r="F1" s="39"/>
      <c r="G1" s="39"/>
      <c r="H1" s="39"/>
    </row>
    <row r="2" spans="1:8" x14ac:dyDescent="0.35">
      <c r="A2" s="4" t="s">
        <v>41</v>
      </c>
      <c r="B2" s="4"/>
      <c r="C2" s="4"/>
      <c r="D2" s="4"/>
      <c r="E2" s="4"/>
      <c r="F2" s="4"/>
      <c r="G2" s="4"/>
      <c r="H2" s="4"/>
    </row>
    <row r="4" spans="1:8" x14ac:dyDescent="0.35">
      <c r="A4" s="7" t="s">
        <v>42</v>
      </c>
      <c r="B4" s="7" t="s">
        <v>43</v>
      </c>
      <c r="C4" s="7" t="s">
        <v>44</v>
      </c>
    </row>
    <row r="5" spans="1:8" x14ac:dyDescent="0.35">
      <c r="A5" t="s">
        <v>45</v>
      </c>
      <c r="B5" s="11" t="s">
        <v>3</v>
      </c>
      <c r="C5" t="s">
        <v>46</v>
      </c>
    </row>
    <row r="6" spans="1:8" x14ac:dyDescent="0.35">
      <c r="A6" t="s">
        <v>47</v>
      </c>
      <c r="B6" s="11" t="s">
        <v>48</v>
      </c>
      <c r="C6" t="s">
        <v>49</v>
      </c>
    </row>
    <row r="7" spans="1:8" x14ac:dyDescent="0.35">
      <c r="A7" t="s">
        <v>8</v>
      </c>
      <c r="B7" s="11" t="s">
        <v>50</v>
      </c>
      <c r="C7" t="s">
        <v>51</v>
      </c>
    </row>
    <row r="8" spans="1:8" x14ac:dyDescent="0.35">
      <c r="A8" t="s">
        <v>52</v>
      </c>
      <c r="B8" s="11">
        <v>10</v>
      </c>
      <c r="C8" t="s">
        <v>53</v>
      </c>
    </row>
    <row r="9" spans="1:8" x14ac:dyDescent="0.35">
      <c r="A9" t="s">
        <v>9</v>
      </c>
      <c r="B9" s="11" t="s">
        <v>54</v>
      </c>
      <c r="C9" t="s">
        <v>55</v>
      </c>
    </row>
    <row r="11" spans="1:8" x14ac:dyDescent="0.35">
      <c r="A11" s="16" t="s">
        <v>56</v>
      </c>
      <c r="B11" s="16"/>
      <c r="C11" s="16"/>
    </row>
    <row r="12" spans="1:8" x14ac:dyDescent="0.35">
      <c r="A12" t="s">
        <v>57</v>
      </c>
      <c r="B12" s="12">
        <v>0</v>
      </c>
      <c r="C12" t="s">
        <v>58</v>
      </c>
    </row>
    <row r="13" spans="1:8" x14ac:dyDescent="0.35">
      <c r="A13" t="s">
        <v>59</v>
      </c>
      <c r="B13" s="12">
        <v>0</v>
      </c>
      <c r="C13" t="s">
        <v>50</v>
      </c>
    </row>
    <row r="14" spans="1:8" x14ac:dyDescent="0.35">
      <c r="A14" t="s">
        <v>60</v>
      </c>
      <c r="B14" s="12">
        <v>0</v>
      </c>
      <c r="C14" t="s">
        <v>61</v>
      </c>
    </row>
    <row r="15" spans="1:8" x14ac:dyDescent="0.35">
      <c r="A15" t="s">
        <v>62</v>
      </c>
      <c r="B15" s="12">
        <v>0</v>
      </c>
      <c r="C15" t="s">
        <v>61</v>
      </c>
    </row>
    <row r="16" spans="1:8" x14ac:dyDescent="0.35">
      <c r="A16" t="s">
        <v>63</v>
      </c>
      <c r="B16" s="13">
        <v>0</v>
      </c>
      <c r="C16" t="s">
        <v>64</v>
      </c>
    </row>
    <row r="17" spans="1:3" x14ac:dyDescent="0.35">
      <c r="A17" t="s">
        <v>65</v>
      </c>
      <c r="B17" s="12">
        <v>0</v>
      </c>
      <c r="C17" t="s">
        <v>50</v>
      </c>
    </row>
    <row r="18" spans="1:3" x14ac:dyDescent="0.35">
      <c r="A18" t="s">
        <v>66</v>
      </c>
      <c r="B18" s="13">
        <v>0</v>
      </c>
      <c r="C18" t="s">
        <v>67</v>
      </c>
    </row>
    <row r="19" spans="1:3" x14ac:dyDescent="0.35">
      <c r="A19" t="s">
        <v>68</v>
      </c>
      <c r="B19" s="12">
        <v>0</v>
      </c>
      <c r="C19" t="s">
        <v>50</v>
      </c>
    </row>
    <row r="20" spans="1:3" x14ac:dyDescent="0.35">
      <c r="A20" t="s">
        <v>69</v>
      </c>
      <c r="B20" s="12">
        <v>20</v>
      </c>
      <c r="C20" t="s">
        <v>53</v>
      </c>
    </row>
    <row r="22" spans="1:3" x14ac:dyDescent="0.35">
      <c r="A22" s="16" t="s">
        <v>70</v>
      </c>
      <c r="B22" s="16"/>
      <c r="C22" s="16"/>
    </row>
    <row r="23" spans="1:3" x14ac:dyDescent="0.35">
      <c r="A23" t="s">
        <v>71</v>
      </c>
      <c r="B23" s="13">
        <v>0</v>
      </c>
      <c r="C23" t="s">
        <v>72</v>
      </c>
    </row>
    <row r="24" spans="1:3" x14ac:dyDescent="0.35">
      <c r="A24" t="s">
        <v>15</v>
      </c>
      <c r="B24" s="13">
        <v>0</v>
      </c>
      <c r="C24" t="s">
        <v>72</v>
      </c>
    </row>
    <row r="25" spans="1:3" x14ac:dyDescent="0.35">
      <c r="A25" t="s">
        <v>73</v>
      </c>
      <c r="B25" s="12">
        <v>3</v>
      </c>
      <c r="C25" t="s">
        <v>53</v>
      </c>
    </row>
    <row r="26" spans="1:3" x14ac:dyDescent="0.35">
      <c r="A26" t="s">
        <v>16</v>
      </c>
      <c r="B26" s="12">
        <v>0</v>
      </c>
      <c r="C26" t="s">
        <v>74</v>
      </c>
    </row>
    <row r="27" spans="1:3" x14ac:dyDescent="0.35">
      <c r="A27" t="s">
        <v>75</v>
      </c>
      <c r="B27" s="13">
        <v>0</v>
      </c>
      <c r="C27" t="s">
        <v>72</v>
      </c>
    </row>
    <row r="28" spans="1:3" x14ac:dyDescent="0.35">
      <c r="A28" t="s">
        <v>76</v>
      </c>
      <c r="B28" s="13">
        <v>0</v>
      </c>
      <c r="C28" t="s">
        <v>77</v>
      </c>
    </row>
    <row r="29" spans="1:3" x14ac:dyDescent="0.35">
      <c r="A29" t="s">
        <v>78</v>
      </c>
      <c r="B29" s="13">
        <v>0</v>
      </c>
      <c r="C29" t="s">
        <v>77</v>
      </c>
    </row>
    <row r="30" spans="1:3" x14ac:dyDescent="0.35">
      <c r="A30" t="s">
        <v>79</v>
      </c>
      <c r="B30" s="13">
        <v>0</v>
      </c>
      <c r="C30" t="s">
        <v>77</v>
      </c>
    </row>
    <row r="31" spans="1:3" x14ac:dyDescent="0.35">
      <c r="A31" t="s">
        <v>80</v>
      </c>
      <c r="B31" s="13">
        <v>0</v>
      </c>
      <c r="C31" t="s">
        <v>81</v>
      </c>
    </row>
    <row r="32" spans="1:3" x14ac:dyDescent="0.35">
      <c r="A32" t="s">
        <v>82</v>
      </c>
      <c r="B32" s="13">
        <v>0</v>
      </c>
      <c r="C32" t="s">
        <v>83</v>
      </c>
    </row>
    <row r="33" spans="1:3" x14ac:dyDescent="0.35">
      <c r="A33" t="s">
        <v>84</v>
      </c>
      <c r="B33" s="13">
        <v>0</v>
      </c>
      <c r="C33" t="s">
        <v>85</v>
      </c>
    </row>
    <row r="34" spans="1:3" x14ac:dyDescent="0.35">
      <c r="A34" t="s">
        <v>86</v>
      </c>
      <c r="B34" s="13">
        <v>0</v>
      </c>
      <c r="C34" t="s">
        <v>85</v>
      </c>
    </row>
    <row r="35" spans="1:3" x14ac:dyDescent="0.35">
      <c r="A35" t="s">
        <v>87</v>
      </c>
      <c r="B35" s="13">
        <v>0</v>
      </c>
      <c r="C35" t="s">
        <v>88</v>
      </c>
    </row>
    <row r="36" spans="1:3" x14ac:dyDescent="0.35">
      <c r="A36" t="s">
        <v>89</v>
      </c>
      <c r="B36" s="13">
        <v>0</v>
      </c>
      <c r="C36" t="s">
        <v>85</v>
      </c>
    </row>
    <row r="37" spans="1:3" x14ac:dyDescent="0.35">
      <c r="A37" t="s">
        <v>90</v>
      </c>
      <c r="B37" s="13">
        <v>0</v>
      </c>
      <c r="C37" t="s">
        <v>91</v>
      </c>
    </row>
    <row r="39" spans="1:3" x14ac:dyDescent="0.35">
      <c r="A39" s="16" t="s">
        <v>92</v>
      </c>
      <c r="B39" s="16"/>
      <c r="C39" s="16"/>
    </row>
    <row r="40" spans="1:3" x14ac:dyDescent="0.35">
      <c r="A40" t="s">
        <v>13</v>
      </c>
      <c r="B40" s="13">
        <v>0</v>
      </c>
      <c r="C40" t="s">
        <v>93</v>
      </c>
    </row>
    <row r="41" spans="1:3" x14ac:dyDescent="0.35">
      <c r="A41" t="s">
        <v>94</v>
      </c>
      <c r="B41" s="13">
        <v>0</v>
      </c>
      <c r="C41" t="s">
        <v>95</v>
      </c>
    </row>
    <row r="42" spans="1:3" x14ac:dyDescent="0.35">
      <c r="A42" t="s">
        <v>96</v>
      </c>
      <c r="B42" s="12">
        <v>10</v>
      </c>
      <c r="C42" t="s">
        <v>53</v>
      </c>
    </row>
    <row r="43" spans="1:3" x14ac:dyDescent="0.35">
      <c r="A43" t="s">
        <v>97</v>
      </c>
      <c r="B43" s="12">
        <v>0</v>
      </c>
      <c r="C43" t="s">
        <v>53</v>
      </c>
    </row>
    <row r="44" spans="1:3" x14ac:dyDescent="0.35">
      <c r="A44" t="s">
        <v>98</v>
      </c>
      <c r="B44" s="13">
        <v>0</v>
      </c>
      <c r="C44" t="s">
        <v>99</v>
      </c>
    </row>
    <row r="45" spans="1:3" x14ac:dyDescent="0.35">
      <c r="A45" t="s">
        <v>100</v>
      </c>
      <c r="B45" s="13">
        <v>0</v>
      </c>
      <c r="C45" t="s">
        <v>72</v>
      </c>
    </row>
    <row r="46" spans="1:3" x14ac:dyDescent="0.35">
      <c r="A46" t="s">
        <v>101</v>
      </c>
      <c r="B46" s="13">
        <v>0</v>
      </c>
      <c r="C46" t="s">
        <v>72</v>
      </c>
    </row>
    <row r="47" spans="1:3" x14ac:dyDescent="0.35">
      <c r="A47" t="s">
        <v>102</v>
      </c>
      <c r="B47" s="13">
        <v>0</v>
      </c>
      <c r="C47" t="s">
        <v>72</v>
      </c>
    </row>
    <row r="48" spans="1:3" x14ac:dyDescent="0.35">
      <c r="A48" t="s">
        <v>103</v>
      </c>
      <c r="B48" s="13">
        <v>0</v>
      </c>
      <c r="C48" t="s">
        <v>104</v>
      </c>
    </row>
    <row r="49" spans="1:3" x14ac:dyDescent="0.35">
      <c r="A49" t="s">
        <v>105</v>
      </c>
      <c r="B49" s="13">
        <v>0</v>
      </c>
      <c r="C49" t="s">
        <v>72</v>
      </c>
    </row>
    <row r="50" spans="1:3" x14ac:dyDescent="0.35">
      <c r="A50" t="s">
        <v>106</v>
      </c>
      <c r="B50" s="12">
        <v>0</v>
      </c>
      <c r="C50" t="s">
        <v>53</v>
      </c>
    </row>
    <row r="51" spans="1:3" x14ac:dyDescent="0.35">
      <c r="B51" s="14"/>
    </row>
    <row r="52" spans="1:3" x14ac:dyDescent="0.35">
      <c r="B52" s="14"/>
    </row>
    <row r="53" spans="1:3" x14ac:dyDescent="0.35">
      <c r="B53" s="14"/>
    </row>
    <row r="54" spans="1:3" x14ac:dyDescent="0.35">
      <c r="B54" s="14"/>
    </row>
    <row r="55" spans="1:3" x14ac:dyDescent="0.35">
      <c r="B55" s="14"/>
    </row>
    <row r="56" spans="1:3" x14ac:dyDescent="0.35">
      <c r="B56" s="15"/>
    </row>
  </sheetData>
  <mergeCells count="2">
    <mergeCell ref="A1:H1"/>
    <mergeCell ref="A2:H2"/>
  </mergeCells>
  <pageMargins left="0.7" right="0.7" top="0.75" bottom="0.75" header="0.3" footer="0.3"/>
  <pageSetup scale="6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4B52-07B5-48EB-A667-AF73885FBD7A}">
  <dimension ref="A1:H22"/>
  <sheetViews>
    <sheetView showGridLines="0" view="pageBreakPreview" zoomScale="60" zoomScaleNormal="100" workbookViewId="0">
      <pane ySplit="4" topLeftCell="A5" activePane="bottomLeft" state="frozen"/>
      <selection pane="bottomLeft" sqref="A1:H1"/>
    </sheetView>
  </sheetViews>
  <sheetFormatPr defaultRowHeight="14.5" x14ac:dyDescent="0.35"/>
  <cols>
    <col min="1" max="1" width="31.81640625" customWidth="1"/>
    <col min="2" max="2" width="32.7265625" customWidth="1"/>
    <col min="3" max="4" width="20" customWidth="1"/>
    <col min="6" max="6" width="27.26953125" customWidth="1"/>
    <col min="7" max="7" width="21.81640625" customWidth="1"/>
  </cols>
  <sheetData>
    <row r="1" spans="1:8" ht="21" x14ac:dyDescent="0.5">
      <c r="A1" s="2" t="s">
        <v>107</v>
      </c>
      <c r="B1" s="2"/>
      <c r="C1" s="2"/>
      <c r="D1" s="2"/>
      <c r="E1" s="2"/>
      <c r="F1" s="2"/>
      <c r="G1" s="2"/>
      <c r="H1" s="2"/>
    </row>
    <row r="2" spans="1:8" x14ac:dyDescent="0.35">
      <c r="A2" s="3" t="s">
        <v>108</v>
      </c>
      <c r="B2" s="3"/>
      <c r="C2" s="3"/>
      <c r="D2" s="3"/>
      <c r="E2" s="3"/>
      <c r="F2" s="3"/>
      <c r="G2" s="3"/>
      <c r="H2" s="3"/>
    </row>
    <row r="4" spans="1:8" x14ac:dyDescent="0.35">
      <c r="A4" s="7" t="s">
        <v>109</v>
      </c>
      <c r="B4" s="7" t="s">
        <v>110</v>
      </c>
      <c r="C4" s="7" t="s">
        <v>111</v>
      </c>
      <c r="D4" s="7" t="s">
        <v>112</v>
      </c>
      <c r="F4" s="7" t="s">
        <v>121</v>
      </c>
      <c r="G4" s="7" t="s">
        <v>112</v>
      </c>
    </row>
    <row r="5" spans="1:8" x14ac:dyDescent="0.35">
      <c r="A5" t="s">
        <v>113</v>
      </c>
      <c r="B5" t="s">
        <v>114</v>
      </c>
      <c r="C5" s="18">
        <f>Assumptions!B13</f>
        <v>0</v>
      </c>
      <c r="D5" s="20">
        <f>C5</f>
        <v>0</v>
      </c>
      <c r="F5" t="s">
        <v>122</v>
      </c>
      <c r="G5" s="20">
        <f>Financing!B5</f>
        <v>0</v>
      </c>
    </row>
    <row r="6" spans="1:8" x14ac:dyDescent="0.35">
      <c r="A6" t="s">
        <v>115</v>
      </c>
      <c r="B6" t="s">
        <v>116</v>
      </c>
      <c r="C6" s="18">
        <f>Assumptions!B14</f>
        <v>0</v>
      </c>
      <c r="D6" s="20">
        <f>Assumptions!B12*C6</f>
        <v>0</v>
      </c>
      <c r="F6" t="s">
        <v>123</v>
      </c>
      <c r="G6" s="20">
        <f>Financing!B6</f>
        <v>0</v>
      </c>
    </row>
    <row r="7" spans="1:8" x14ac:dyDescent="0.35">
      <c r="A7" t="s">
        <v>117</v>
      </c>
      <c r="B7" t="s">
        <v>116</v>
      </c>
      <c r="C7" s="18">
        <f>Assumptions!B15</f>
        <v>0</v>
      </c>
      <c r="D7" s="20">
        <f>Assumptions!B12*C7</f>
        <v>0</v>
      </c>
      <c r="F7" s="6" t="s">
        <v>124</v>
      </c>
      <c r="G7" s="8">
        <f>SUM(G5:G6)</f>
        <v>0</v>
      </c>
    </row>
    <row r="8" spans="1:8" x14ac:dyDescent="0.35">
      <c r="A8" t="s">
        <v>63</v>
      </c>
      <c r="B8" t="s">
        <v>118</v>
      </c>
      <c r="C8" s="19">
        <f>Assumptions!B16</f>
        <v>0</v>
      </c>
      <c r="D8" s="20">
        <f>D6*C8</f>
        <v>0</v>
      </c>
      <c r="F8" t="s">
        <v>12</v>
      </c>
      <c r="G8" s="20">
        <f>D22</f>
        <v>0</v>
      </c>
    </row>
    <row r="9" spans="1:8" x14ac:dyDescent="0.35">
      <c r="A9" t="s">
        <v>65</v>
      </c>
      <c r="B9" t="s">
        <v>114</v>
      </c>
      <c r="C9" s="18">
        <f>Assumptions!B17</f>
        <v>0</v>
      </c>
      <c r="D9" s="20">
        <f>C9</f>
        <v>0</v>
      </c>
      <c r="F9" s="6" t="s">
        <v>125</v>
      </c>
      <c r="G9" s="8">
        <f>G7-G8</f>
        <v>0</v>
      </c>
    </row>
    <row r="10" spans="1:8" x14ac:dyDescent="0.35">
      <c r="A10" t="s">
        <v>66</v>
      </c>
      <c r="B10" t="s">
        <v>67</v>
      </c>
      <c r="C10" s="19">
        <f>Assumptions!B18</f>
        <v>0</v>
      </c>
      <c r="D10" s="20">
        <f>(D6+D7)*C10</f>
        <v>0</v>
      </c>
      <c r="F10" s="6" t="s">
        <v>126</v>
      </c>
      <c r="G10" s="6" t="str">
        <f>IF(ABS(G9)&lt;1,"PASS","FAIL")</f>
        <v>PASS</v>
      </c>
    </row>
    <row r="11" spans="1:8" x14ac:dyDescent="0.35">
      <c r="A11" t="s">
        <v>68</v>
      </c>
      <c r="B11" t="s">
        <v>114</v>
      </c>
      <c r="C11" s="18">
        <f>Assumptions!B19</f>
        <v>0</v>
      </c>
      <c r="D11" s="20">
        <f>C11</f>
        <v>0</v>
      </c>
    </row>
    <row r="12" spans="1:8" x14ac:dyDescent="0.35">
      <c r="A12" t="s">
        <v>98</v>
      </c>
      <c r="B12" t="s">
        <v>119</v>
      </c>
      <c r="C12" s="19">
        <f>Assumptions!B44</f>
        <v>0</v>
      </c>
      <c r="D12" s="20">
        <f>SUM(D5:D11)*Assumptions!B40*C12</f>
        <v>0</v>
      </c>
    </row>
    <row r="13" spans="1:8" x14ac:dyDescent="0.35">
      <c r="D13" s="20"/>
    </row>
    <row r="14" spans="1:8" x14ac:dyDescent="0.35">
      <c r="D14" s="20"/>
    </row>
    <row r="15" spans="1:8" x14ac:dyDescent="0.35">
      <c r="D15" s="20"/>
    </row>
    <row r="16" spans="1:8" x14ac:dyDescent="0.35">
      <c r="D16" s="20"/>
    </row>
    <row r="17" spans="1:4" x14ac:dyDescent="0.35">
      <c r="D17" s="20"/>
    </row>
    <row r="18" spans="1:4" x14ac:dyDescent="0.35">
      <c r="D18" s="20"/>
    </row>
    <row r="19" spans="1:4" x14ac:dyDescent="0.35">
      <c r="D19" s="20"/>
    </row>
    <row r="20" spans="1:4" x14ac:dyDescent="0.35">
      <c r="D20" s="20"/>
    </row>
    <row r="21" spans="1:4" ht="15" thickBot="1" x14ac:dyDescent="0.4">
      <c r="D21" s="20"/>
    </row>
    <row r="22" spans="1:4" ht="15" thickTop="1" x14ac:dyDescent="0.35">
      <c r="A22" s="17"/>
      <c r="B22" s="17"/>
      <c r="C22" s="17" t="s">
        <v>120</v>
      </c>
      <c r="D22" s="21">
        <f>SUM(D5:D12)</f>
        <v>0</v>
      </c>
    </row>
  </sheetData>
  <mergeCells count="2">
    <mergeCell ref="A1:H1"/>
    <mergeCell ref="A2:H2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C10E-3877-45B0-AA13-3E1B226C4B55}">
  <dimension ref="A1:K25"/>
  <sheetViews>
    <sheetView showGridLines="0" tabSelected="1" view="pageBreakPreview" zoomScale="60" zoomScaleNormal="100" workbookViewId="0">
      <pane ySplit="4" topLeftCell="A5" activePane="bottomLeft" state="frozen"/>
      <selection pane="bottomLeft" activeCell="R19" sqref="R19"/>
    </sheetView>
  </sheetViews>
  <sheetFormatPr defaultRowHeight="14.5" x14ac:dyDescent="0.35"/>
  <cols>
    <col min="1" max="1" width="38.1796875" customWidth="1"/>
    <col min="2" max="11" width="16" style="38" customWidth="1"/>
  </cols>
  <sheetData>
    <row r="1" spans="1:11" ht="21" x14ac:dyDescent="0.5">
      <c r="A1" s="40" t="s">
        <v>149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5">
      <c r="A2" s="25" t="s">
        <v>150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35">
      <c r="A3" s="26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35">
      <c r="A4" s="27" t="s">
        <v>151</v>
      </c>
      <c r="B4" s="33" t="s">
        <v>134</v>
      </c>
      <c r="C4" s="33" t="s">
        <v>135</v>
      </c>
      <c r="D4" s="33" t="s">
        <v>136</v>
      </c>
      <c r="E4" s="33" t="s">
        <v>137</v>
      </c>
      <c r="F4" s="33" t="s">
        <v>138</v>
      </c>
      <c r="G4" s="33" t="s">
        <v>139</v>
      </c>
      <c r="H4" s="33" t="s">
        <v>140</v>
      </c>
      <c r="I4" s="33" t="s">
        <v>141</v>
      </c>
      <c r="J4" s="33" t="s">
        <v>142</v>
      </c>
      <c r="K4" s="33" t="s">
        <v>143</v>
      </c>
    </row>
    <row r="5" spans="1:11" x14ac:dyDescent="0.35">
      <c r="A5" s="26" t="s">
        <v>152</v>
      </c>
      <c r="B5" s="34" t="str">
        <f>IF(Assumptions!$B$12=0,"",Assumptions!$B$12*365)</f>
        <v/>
      </c>
      <c r="C5" s="34" t="str">
        <f>IF(Assumptions!$B$12=0,"",Assumptions!$B$12*365)</f>
        <v/>
      </c>
      <c r="D5" s="34" t="str">
        <f>IF(Assumptions!$B$12=0,"",Assumptions!$B$12*365)</f>
        <v/>
      </c>
      <c r="E5" s="34" t="str">
        <f>IF(Assumptions!$B$12=0,"",Assumptions!$B$12*365)</f>
        <v/>
      </c>
      <c r="F5" s="34" t="str">
        <f>IF(Assumptions!$B$12=0,"",Assumptions!$B$12*365)</f>
        <v/>
      </c>
      <c r="G5" s="34" t="str">
        <f>IF(Assumptions!$B$12=0,"",Assumptions!$B$12*365)</f>
        <v/>
      </c>
      <c r="H5" s="34" t="str">
        <f>IF(Assumptions!$B$12=0,"",Assumptions!$B$12*365)</f>
        <v/>
      </c>
      <c r="I5" s="34" t="str">
        <f>IF(Assumptions!$B$12=0,"",Assumptions!$B$12*365)</f>
        <v/>
      </c>
      <c r="J5" s="34" t="str">
        <f>IF(Assumptions!$B$12=0,"",Assumptions!$B$12*365)</f>
        <v/>
      </c>
      <c r="K5" s="34" t="str">
        <f>IF(Assumptions!$B$12=0,"",Assumptions!$B$12*365)</f>
        <v/>
      </c>
    </row>
    <row r="6" spans="1:11" x14ac:dyDescent="0.35">
      <c r="A6" s="26" t="s">
        <v>153</v>
      </c>
      <c r="B6" s="35" t="str">
        <f>IF(OR(Assumptions!$B$23=0,Assumptions!$B$24=0),"",MIN(Assumptions!$B$24,Assumptions!$B$23+(COLUMN()-2)*(Assumptions!$B$24-Assumptions!$B$23)/MAX(1,Assumptions!$B$25-1)))</f>
        <v/>
      </c>
      <c r="C6" s="35" t="str">
        <f>IF(OR(Assumptions!$B$23=0,Assumptions!$B$24=0),"",MIN(Assumptions!$B$24,Assumptions!$B$23+(COLUMN()-2)*(Assumptions!$B$24-Assumptions!$B$23)/MAX(1,Assumptions!$B$25-1)))</f>
        <v/>
      </c>
      <c r="D6" s="35" t="str">
        <f>IF(OR(Assumptions!$B$23=0,Assumptions!$B$24=0),"",MIN(Assumptions!$B$24,Assumptions!$B$23+(COLUMN()-2)*(Assumptions!$B$24-Assumptions!$B$23)/MAX(1,Assumptions!$B$25-1)))</f>
        <v/>
      </c>
      <c r="E6" s="35" t="str">
        <f>IF(OR(Assumptions!$B$23=0,Assumptions!$B$24=0),"",MIN(Assumptions!$B$24,Assumptions!$B$23+(COLUMN()-2)*(Assumptions!$B$24-Assumptions!$B$23)/MAX(1,Assumptions!$B$25-1)))</f>
        <v/>
      </c>
      <c r="F6" s="35" t="str">
        <f>IF(OR(Assumptions!$B$23=0,Assumptions!$B$24=0),"",MIN(Assumptions!$B$24,Assumptions!$B$23+(COLUMN()-2)*(Assumptions!$B$24-Assumptions!$B$23)/MAX(1,Assumptions!$B$25-1)))</f>
        <v/>
      </c>
      <c r="G6" s="35" t="str">
        <f>IF(OR(Assumptions!$B$23=0,Assumptions!$B$24=0),"",MIN(Assumptions!$B$24,Assumptions!$B$23+(COLUMN()-2)*(Assumptions!$B$24-Assumptions!$B$23)/MAX(1,Assumptions!$B$25-1)))</f>
        <v/>
      </c>
      <c r="H6" s="35" t="str">
        <f>IF(OR(Assumptions!$B$23=0,Assumptions!$B$24=0),"",MIN(Assumptions!$B$24,Assumptions!$B$23+(COLUMN()-2)*(Assumptions!$B$24-Assumptions!$B$23)/MAX(1,Assumptions!$B$25-1)))</f>
        <v/>
      </c>
      <c r="I6" s="35" t="str">
        <f>IF(OR(Assumptions!$B$23=0,Assumptions!$B$24=0),"",MIN(Assumptions!$B$24,Assumptions!$B$23+(COLUMN()-2)*(Assumptions!$B$24-Assumptions!$B$23)/MAX(1,Assumptions!$B$25-1)))</f>
        <v/>
      </c>
      <c r="J6" s="35" t="str">
        <f>IF(OR(Assumptions!$B$23=0,Assumptions!$B$24=0),"",MIN(Assumptions!$B$24,Assumptions!$B$23+(COLUMN()-2)*(Assumptions!$B$24-Assumptions!$B$23)/MAX(1,Assumptions!$B$25-1)))</f>
        <v/>
      </c>
      <c r="K6" s="35" t="str">
        <f>IF(OR(Assumptions!$B$23=0,Assumptions!$B$24=0),"",MIN(Assumptions!$B$24,Assumptions!$B$23+(COLUMN()-2)*(Assumptions!$B$24-Assumptions!$B$23)/MAX(1,Assumptions!$B$25-1)))</f>
        <v/>
      </c>
    </row>
    <row r="7" spans="1:11" x14ac:dyDescent="0.35">
      <c r="A7" s="26" t="s">
        <v>154</v>
      </c>
      <c r="B7" s="34" t="str">
        <f>IF(B5="","",B5*B6)</f>
        <v/>
      </c>
      <c r="C7" s="34" t="str">
        <f>IF(C5="","",C5*C6)</f>
        <v/>
      </c>
      <c r="D7" s="34" t="str">
        <f>IF(D5="","",D5*D6)</f>
        <v/>
      </c>
      <c r="E7" s="34" t="str">
        <f>IF(E5="","",E5*E6)</f>
        <v/>
      </c>
      <c r="F7" s="34" t="str">
        <f>IF(F5="","",F5*F6)</f>
        <v/>
      </c>
      <c r="G7" s="34" t="str">
        <f>IF(G5="","",G5*G6)</f>
        <v/>
      </c>
      <c r="H7" s="34" t="str">
        <f>IF(H5="","",H5*H6)</f>
        <v/>
      </c>
      <c r="I7" s="34" t="str">
        <f>IF(I5="","",I5*I6)</f>
        <v/>
      </c>
      <c r="J7" s="34" t="str">
        <f>IF(J5="","",J5*J6)</f>
        <v/>
      </c>
      <c r="K7" s="34" t="str">
        <f>IF(K5="","",K5*K6)</f>
        <v/>
      </c>
    </row>
    <row r="8" spans="1:11" x14ac:dyDescent="0.35">
      <c r="A8" s="26" t="s">
        <v>155</v>
      </c>
      <c r="B8" s="36" t="str">
        <f>IF(Assumptions!$B$26=0,"",Assumptions!$B$26*(1+Assumptions!$B$27)^(COLUMN()-2))</f>
        <v/>
      </c>
      <c r="C8" s="36" t="str">
        <f>IF(Assumptions!$B$26=0,"",Assumptions!$B$26*(1+Assumptions!$B$27)^(COLUMN()-2))</f>
        <v/>
      </c>
      <c r="D8" s="36" t="str">
        <f>IF(Assumptions!$B$26=0,"",Assumptions!$B$26*(1+Assumptions!$B$27)^(COLUMN()-2))</f>
        <v/>
      </c>
      <c r="E8" s="36" t="str">
        <f>IF(Assumptions!$B$26=0,"",Assumptions!$B$26*(1+Assumptions!$B$27)^(COLUMN()-2))</f>
        <v/>
      </c>
      <c r="F8" s="36" t="str">
        <f>IF(Assumptions!$B$26=0,"",Assumptions!$B$26*(1+Assumptions!$B$27)^(COLUMN()-2))</f>
        <v/>
      </c>
      <c r="G8" s="36" t="str">
        <f>IF(Assumptions!$B$26=0,"",Assumptions!$B$26*(1+Assumptions!$B$27)^(COLUMN()-2))</f>
        <v/>
      </c>
      <c r="H8" s="36" t="str">
        <f>IF(Assumptions!$B$26=0,"",Assumptions!$B$26*(1+Assumptions!$B$27)^(COLUMN()-2))</f>
        <v/>
      </c>
      <c r="I8" s="36" t="str">
        <f>IF(Assumptions!$B$26=0,"",Assumptions!$B$26*(1+Assumptions!$B$27)^(COLUMN()-2))</f>
        <v/>
      </c>
      <c r="J8" s="36" t="str">
        <f>IF(Assumptions!$B$26=0,"",Assumptions!$B$26*(1+Assumptions!$B$27)^(COLUMN()-2))</f>
        <v/>
      </c>
      <c r="K8" s="36" t="str">
        <f>IF(Assumptions!$B$26=0,"",Assumptions!$B$26*(1+Assumptions!$B$27)^(COLUMN()-2))</f>
        <v/>
      </c>
    </row>
    <row r="9" spans="1:11" x14ac:dyDescent="0.35">
      <c r="A9" s="26" t="s">
        <v>156</v>
      </c>
      <c r="B9" s="36" t="str">
        <f>IF(OR(B6="",B8=""),"",B6*B8)</f>
        <v/>
      </c>
      <c r="C9" s="36" t="str">
        <f>IF(OR(C6="",C8=""),"",C6*C8)</f>
        <v/>
      </c>
      <c r="D9" s="36" t="str">
        <f>IF(OR(D6="",D8=""),"",D6*D8)</f>
        <v/>
      </c>
      <c r="E9" s="36" t="str">
        <f>IF(OR(E6="",E8=""),"",E6*E8)</f>
        <v/>
      </c>
      <c r="F9" s="36" t="str">
        <f>IF(OR(F6="",F8=""),"",F6*F8)</f>
        <v/>
      </c>
      <c r="G9" s="36" t="str">
        <f>IF(OR(G6="",G8=""),"",G6*G8)</f>
        <v/>
      </c>
      <c r="H9" s="36" t="str">
        <f>IF(OR(H6="",H8=""),"",H6*H8)</f>
        <v/>
      </c>
      <c r="I9" s="36" t="str">
        <f>IF(OR(I6="",I8=""),"",I6*I8)</f>
        <v/>
      </c>
      <c r="J9" s="36" t="str">
        <f>IF(OR(J6="",J8=""),"",J6*J8)</f>
        <v/>
      </c>
      <c r="K9" s="36" t="str">
        <f>IF(OR(K6="",K8=""),"",K6*K8)</f>
        <v/>
      </c>
    </row>
    <row r="10" spans="1:11" x14ac:dyDescent="0.35">
      <c r="A10" s="26" t="s">
        <v>157</v>
      </c>
      <c r="B10" s="36" t="str">
        <f>IF(OR(B7="",B8=""),"",B7*B8)</f>
        <v/>
      </c>
      <c r="C10" s="36" t="str">
        <f>IF(OR(C7="",C8=""),"",C7*C8)</f>
        <v/>
      </c>
      <c r="D10" s="36" t="str">
        <f>IF(OR(D7="",D8=""),"",D7*D8)</f>
        <v/>
      </c>
      <c r="E10" s="36" t="str">
        <f>IF(OR(E7="",E8=""),"",E7*E8)</f>
        <v/>
      </c>
      <c r="F10" s="36" t="str">
        <f>IF(OR(F7="",F8=""),"",F7*F8)</f>
        <v/>
      </c>
      <c r="G10" s="36" t="str">
        <f>IF(OR(G7="",G8=""),"",G7*G8)</f>
        <v/>
      </c>
      <c r="H10" s="36" t="str">
        <f>IF(OR(H7="",H8=""),"",H7*H8)</f>
        <v/>
      </c>
      <c r="I10" s="36" t="str">
        <f>IF(OR(I7="",I8=""),"",I7*I8)</f>
        <v/>
      </c>
      <c r="J10" s="36" t="str">
        <f>IF(OR(J7="",J8=""),"",J7*J8)</f>
        <v/>
      </c>
      <c r="K10" s="36" t="str">
        <f>IF(OR(K7="",K8=""),"",K7*K8)</f>
        <v/>
      </c>
    </row>
    <row r="11" spans="1:11" x14ac:dyDescent="0.35">
      <c r="A11" s="26" t="s">
        <v>76</v>
      </c>
      <c r="B11" s="36" t="str">
        <f>IF(B10="","",B10*Assumptions!$B$28)</f>
        <v/>
      </c>
      <c r="C11" s="36" t="str">
        <f>IF(C10="","",C10*Assumptions!$B$28)</f>
        <v/>
      </c>
      <c r="D11" s="36" t="str">
        <f>IF(D10="","",D10*Assumptions!$B$28)</f>
        <v/>
      </c>
      <c r="E11" s="36" t="str">
        <f>IF(E10="","",E10*Assumptions!$B$28)</f>
        <v/>
      </c>
      <c r="F11" s="36" t="str">
        <f>IF(F10="","",F10*Assumptions!$B$28)</f>
        <v/>
      </c>
      <c r="G11" s="36" t="str">
        <f>IF(G10="","",G10*Assumptions!$B$28)</f>
        <v/>
      </c>
      <c r="H11" s="36" t="str">
        <f>IF(H10="","",H10*Assumptions!$B$28)</f>
        <v/>
      </c>
      <c r="I11" s="36" t="str">
        <f>IF(I10="","",I10*Assumptions!$B$28)</f>
        <v/>
      </c>
      <c r="J11" s="36" t="str">
        <f>IF(J10="","",J10*Assumptions!$B$28)</f>
        <v/>
      </c>
      <c r="K11" s="36" t="str">
        <f>IF(K10="","",K10*Assumptions!$B$28)</f>
        <v/>
      </c>
    </row>
    <row r="12" spans="1:11" x14ac:dyDescent="0.35">
      <c r="A12" s="26" t="s">
        <v>78</v>
      </c>
      <c r="B12" s="36" t="str">
        <f>IF(B10="","",B10*Assumptions!$B$29)</f>
        <v/>
      </c>
      <c r="C12" s="36" t="str">
        <f>IF(C10="","",C10*Assumptions!$B$29)</f>
        <v/>
      </c>
      <c r="D12" s="36" t="str">
        <f>IF(D10="","",D10*Assumptions!$B$29)</f>
        <v/>
      </c>
      <c r="E12" s="36" t="str">
        <f>IF(E10="","",E10*Assumptions!$B$29)</f>
        <v/>
      </c>
      <c r="F12" s="36" t="str">
        <f>IF(F10="","",F10*Assumptions!$B$29)</f>
        <v/>
      </c>
      <c r="G12" s="36" t="str">
        <f>IF(G10="","",G10*Assumptions!$B$29)</f>
        <v/>
      </c>
      <c r="H12" s="36" t="str">
        <f>IF(H10="","",H10*Assumptions!$B$29)</f>
        <v/>
      </c>
      <c r="I12" s="36" t="str">
        <f>IF(I10="","",I10*Assumptions!$B$29)</f>
        <v/>
      </c>
      <c r="J12" s="36" t="str">
        <f>IF(J10="","",J10*Assumptions!$B$29)</f>
        <v/>
      </c>
      <c r="K12" s="36" t="str">
        <f>IF(K10="","",K10*Assumptions!$B$29)</f>
        <v/>
      </c>
    </row>
    <row r="13" spans="1:11" x14ac:dyDescent="0.35">
      <c r="A13" s="30" t="s">
        <v>158</v>
      </c>
      <c r="B13" s="37" t="str">
        <f>IF(B10="","",SUM(B10:B12))</f>
        <v/>
      </c>
      <c r="C13" s="37" t="str">
        <f>IF(C10="","",SUM(C10:C12))</f>
        <v/>
      </c>
      <c r="D13" s="37" t="str">
        <f>IF(D10="","",SUM(D10:D12))</f>
        <v/>
      </c>
      <c r="E13" s="37" t="str">
        <f>IF(E10="","",SUM(E10:E12))</f>
        <v/>
      </c>
      <c r="F13" s="37" t="str">
        <f>IF(F10="","",SUM(F10:F12))</f>
        <v/>
      </c>
      <c r="G13" s="37" t="str">
        <f>IF(G10="","",SUM(G10:G12))</f>
        <v/>
      </c>
      <c r="H13" s="37" t="str">
        <f>IF(H10="","",SUM(H10:H12))</f>
        <v/>
      </c>
      <c r="I13" s="37" t="str">
        <f>IF(I10="","",SUM(I10:I12))</f>
        <v/>
      </c>
      <c r="J13" s="37" t="str">
        <f>IF(J10="","",SUM(J10:J12))</f>
        <v/>
      </c>
      <c r="K13" s="37" t="str">
        <f>IF(K10="","",SUM(K10:K12))</f>
        <v/>
      </c>
    </row>
    <row r="14" spans="1:11" x14ac:dyDescent="0.35">
      <c r="A14" s="26" t="s">
        <v>79</v>
      </c>
      <c r="B14" s="36" t="str">
        <f>IF(B10="","",-B10*Assumptions!$B$30)</f>
        <v/>
      </c>
      <c r="C14" s="36" t="str">
        <f>IF(C10="","",-C10*Assumptions!$B$30)</f>
        <v/>
      </c>
      <c r="D14" s="36" t="str">
        <f>IF(D10="","",-D10*Assumptions!$B$30)</f>
        <v/>
      </c>
      <c r="E14" s="36" t="str">
        <f>IF(E10="","",-E10*Assumptions!$B$30)</f>
        <v/>
      </c>
      <c r="F14" s="36" t="str">
        <f>IF(F10="","",-F10*Assumptions!$B$30)</f>
        <v/>
      </c>
      <c r="G14" s="36" t="str">
        <f>IF(G10="","",-G10*Assumptions!$B$30)</f>
        <v/>
      </c>
      <c r="H14" s="36" t="str">
        <f>IF(H10="","",-H10*Assumptions!$B$30)</f>
        <v/>
      </c>
      <c r="I14" s="36" t="str">
        <f>IF(I10="","",-I10*Assumptions!$B$30)</f>
        <v/>
      </c>
      <c r="J14" s="36" t="str">
        <f>IF(J10="","",-J10*Assumptions!$B$30)</f>
        <v/>
      </c>
      <c r="K14" s="36" t="str">
        <f>IF(K10="","",-K10*Assumptions!$B$30)</f>
        <v/>
      </c>
    </row>
    <row r="15" spans="1:11" x14ac:dyDescent="0.35">
      <c r="A15" s="26" t="s">
        <v>80</v>
      </c>
      <c r="B15" s="36" t="str">
        <f>IF(B11="","",-B11*Assumptions!$B$31)</f>
        <v/>
      </c>
      <c r="C15" s="36" t="str">
        <f>IF(C11="","",-C11*Assumptions!$B$31)</f>
        <v/>
      </c>
      <c r="D15" s="36" t="str">
        <f>IF(D11="","",-D11*Assumptions!$B$31)</f>
        <v/>
      </c>
      <c r="E15" s="36" t="str">
        <f>IF(E11="","",-E11*Assumptions!$B$31)</f>
        <v/>
      </c>
      <c r="F15" s="36" t="str">
        <f>IF(F11="","",-F11*Assumptions!$B$31)</f>
        <v/>
      </c>
      <c r="G15" s="36" t="str">
        <f>IF(G11="","",-G11*Assumptions!$B$31)</f>
        <v/>
      </c>
      <c r="H15" s="36" t="str">
        <f>IF(H11="","",-H11*Assumptions!$B$31)</f>
        <v/>
      </c>
      <c r="I15" s="36" t="str">
        <f>IF(I11="","",-I11*Assumptions!$B$31)</f>
        <v/>
      </c>
      <c r="J15" s="36" t="str">
        <f>IF(J11="","",-J11*Assumptions!$B$31)</f>
        <v/>
      </c>
      <c r="K15" s="36" t="str">
        <f>IF(K11="","",-K11*Assumptions!$B$31)</f>
        <v/>
      </c>
    </row>
    <row r="16" spans="1:11" x14ac:dyDescent="0.35">
      <c r="A16" s="26" t="s">
        <v>82</v>
      </c>
      <c r="B16" s="36" t="str">
        <f>IF(B12="","",-B12*Assumptions!$B$32)</f>
        <v/>
      </c>
      <c r="C16" s="36" t="str">
        <f>IF(C12="","",-C12*Assumptions!$B$32)</f>
        <v/>
      </c>
      <c r="D16" s="36" t="str">
        <f>IF(D12="","",-D12*Assumptions!$B$32)</f>
        <v/>
      </c>
      <c r="E16" s="36" t="str">
        <f>IF(E12="","",-E12*Assumptions!$B$32)</f>
        <v/>
      </c>
      <c r="F16" s="36" t="str">
        <f>IF(F12="","",-F12*Assumptions!$B$32)</f>
        <v/>
      </c>
      <c r="G16" s="36" t="str">
        <f>IF(G12="","",-G12*Assumptions!$B$32)</f>
        <v/>
      </c>
      <c r="H16" s="36" t="str">
        <f>IF(H12="","",-H12*Assumptions!$B$32)</f>
        <v/>
      </c>
      <c r="I16" s="36" t="str">
        <f>IF(I12="","",-I12*Assumptions!$B$32)</f>
        <v/>
      </c>
      <c r="J16" s="36" t="str">
        <f>IF(J12="","",-J12*Assumptions!$B$32)</f>
        <v/>
      </c>
      <c r="K16" s="36" t="str">
        <f>IF(K12="","",-K12*Assumptions!$B$32)</f>
        <v/>
      </c>
    </row>
    <row r="17" spans="1:11" x14ac:dyDescent="0.35">
      <c r="A17" s="26" t="s">
        <v>159</v>
      </c>
      <c r="B17" s="36" t="str">
        <f>IF(B13="","",SUM(B14:B16))</f>
        <v/>
      </c>
      <c r="C17" s="36" t="str">
        <f>IF(C13="","",SUM(C14:C16))</f>
        <v/>
      </c>
      <c r="D17" s="36" t="str">
        <f>IF(D13="","",SUM(D14:D16))</f>
        <v/>
      </c>
      <c r="E17" s="36" t="str">
        <f>IF(E13="","",SUM(E14:E16))</f>
        <v/>
      </c>
      <c r="F17" s="36" t="str">
        <f>IF(F13="","",SUM(F14:F16))</f>
        <v/>
      </c>
      <c r="G17" s="36" t="str">
        <f>IF(G13="","",SUM(G14:G16))</f>
        <v/>
      </c>
      <c r="H17" s="36" t="str">
        <f>IF(H13="","",SUM(H14:H16))</f>
        <v/>
      </c>
      <c r="I17" s="36" t="str">
        <f>IF(I13="","",SUM(I14:I16))</f>
        <v/>
      </c>
      <c r="J17" s="36" t="str">
        <f>IF(J13="","",SUM(J14:J16))</f>
        <v/>
      </c>
      <c r="K17" s="36" t="str">
        <f>IF(K13="","",SUM(K14:K16))</f>
        <v/>
      </c>
    </row>
    <row r="18" spans="1:11" x14ac:dyDescent="0.35">
      <c r="A18" s="30" t="s">
        <v>160</v>
      </c>
      <c r="B18" s="37" t="str">
        <f>IF(B13="","",B13+B17)</f>
        <v/>
      </c>
      <c r="C18" s="37" t="str">
        <f>IF(C13="","",C13+C17)</f>
        <v/>
      </c>
      <c r="D18" s="37" t="str">
        <f>IF(D13="","",D13+D17)</f>
        <v/>
      </c>
      <c r="E18" s="37" t="str">
        <f>IF(E13="","",E13+E17)</f>
        <v/>
      </c>
      <c r="F18" s="37" t="str">
        <f>IF(F13="","",F13+F17)</f>
        <v/>
      </c>
      <c r="G18" s="37" t="str">
        <f>IF(G13="","",G13+G17)</f>
        <v/>
      </c>
      <c r="H18" s="37" t="str">
        <f>IF(H13="","",H13+H17)</f>
        <v/>
      </c>
      <c r="I18" s="37" t="str">
        <f>IF(I13="","",I13+I17)</f>
        <v/>
      </c>
      <c r="J18" s="37" t="str">
        <f>IF(J13="","",J13+J17)</f>
        <v/>
      </c>
      <c r="K18" s="37" t="str">
        <f>IF(K13="","",K13+K17)</f>
        <v/>
      </c>
    </row>
    <row r="19" spans="1:11" x14ac:dyDescent="0.35">
      <c r="A19" s="26" t="s">
        <v>161</v>
      </c>
      <c r="B19" s="36" t="str">
        <f>IF(B13="","",-B13*Assumptions!$B$33)</f>
        <v/>
      </c>
      <c r="C19" s="36" t="str">
        <f>IF(C13="","",-C13*Assumptions!$B$33)</f>
        <v/>
      </c>
      <c r="D19" s="36" t="str">
        <f>IF(D13="","",-D13*Assumptions!$B$33)</f>
        <v/>
      </c>
      <c r="E19" s="36" t="str">
        <f>IF(E13="","",-E13*Assumptions!$B$33)</f>
        <v/>
      </c>
      <c r="F19" s="36" t="str">
        <f>IF(F13="","",-F13*Assumptions!$B$33)</f>
        <v/>
      </c>
      <c r="G19" s="36" t="str">
        <f>IF(G13="","",-G13*Assumptions!$B$33)</f>
        <v/>
      </c>
      <c r="H19" s="36" t="str">
        <f>IF(H13="","",-H13*Assumptions!$B$33)</f>
        <v/>
      </c>
      <c r="I19" s="36" t="str">
        <f>IF(I13="","",-I13*Assumptions!$B$33)</f>
        <v/>
      </c>
      <c r="J19" s="36" t="str">
        <f>IF(J13="","",-J13*Assumptions!$B$33)</f>
        <v/>
      </c>
      <c r="K19" s="36" t="str">
        <f>IF(K13="","",-K13*Assumptions!$B$33)</f>
        <v/>
      </c>
    </row>
    <row r="20" spans="1:11" x14ac:dyDescent="0.35">
      <c r="A20" s="30" t="s">
        <v>162</v>
      </c>
      <c r="B20" s="37" t="str">
        <f>IF(B13="","",SUM(B18:B19))</f>
        <v/>
      </c>
      <c r="C20" s="37" t="str">
        <f>IF(C13="","",SUM(C18:C19))</f>
        <v/>
      </c>
      <c r="D20" s="37" t="str">
        <f>IF(D13="","",SUM(D18:D19))</f>
        <v/>
      </c>
      <c r="E20" s="37" t="str">
        <f>IF(E13="","",SUM(E18:E19))</f>
        <v/>
      </c>
      <c r="F20" s="37" t="str">
        <f>IF(F13="","",SUM(F18:F19))</f>
        <v/>
      </c>
      <c r="G20" s="37" t="str">
        <f>IF(G13="","",SUM(G18:G19))</f>
        <v/>
      </c>
      <c r="H20" s="37" t="str">
        <f>IF(H13="","",SUM(H18:H19))</f>
        <v/>
      </c>
      <c r="I20" s="37" t="str">
        <f>IF(I13="","",SUM(I18:I19))</f>
        <v/>
      </c>
      <c r="J20" s="37" t="str">
        <f>IF(J13="","",SUM(J18:J19))</f>
        <v/>
      </c>
      <c r="K20" s="37" t="str">
        <f>IF(K13="","",SUM(K18:K19))</f>
        <v/>
      </c>
    </row>
    <row r="21" spans="1:11" x14ac:dyDescent="0.35">
      <c r="A21" s="26" t="s">
        <v>86</v>
      </c>
      <c r="B21" s="36" t="str">
        <f>IF(B13="","",-B13*Assumptions!$B$34)</f>
        <v/>
      </c>
      <c r="C21" s="36" t="str">
        <f>IF(C13="","",-C13*Assumptions!$B$34)</f>
        <v/>
      </c>
      <c r="D21" s="36" t="str">
        <f>IF(D13="","",-D13*Assumptions!$B$34)</f>
        <v/>
      </c>
      <c r="E21" s="36" t="str">
        <f>IF(E13="","",-E13*Assumptions!$B$34)</f>
        <v/>
      </c>
      <c r="F21" s="36" t="str">
        <f>IF(F13="","",-F13*Assumptions!$B$34)</f>
        <v/>
      </c>
      <c r="G21" s="36" t="str">
        <f>IF(G13="","",-G13*Assumptions!$B$34)</f>
        <v/>
      </c>
      <c r="H21" s="36" t="str">
        <f>IF(H13="","",-H13*Assumptions!$B$34)</f>
        <v/>
      </c>
      <c r="I21" s="36" t="str">
        <f>IF(I13="","",-I13*Assumptions!$B$34)</f>
        <v/>
      </c>
      <c r="J21" s="36" t="str">
        <f>IF(J13="","",-J13*Assumptions!$B$34)</f>
        <v/>
      </c>
      <c r="K21" s="36" t="str">
        <f>IF(K13="","",-K13*Assumptions!$B$34)</f>
        <v/>
      </c>
    </row>
    <row r="22" spans="1:11" x14ac:dyDescent="0.35">
      <c r="A22" s="26" t="s">
        <v>87</v>
      </c>
      <c r="B22" s="36" t="str">
        <f>IF(B20="","",-MAX(0,B20)*Assumptions!$B$35)</f>
        <v/>
      </c>
      <c r="C22" s="36" t="str">
        <f>IF(C20="","",-MAX(0,C20)*Assumptions!$B$35)</f>
        <v/>
      </c>
      <c r="D22" s="36" t="str">
        <f>IF(D20="","",-MAX(0,D20)*Assumptions!$B$35)</f>
        <v/>
      </c>
      <c r="E22" s="36" t="str">
        <f>IF(E20="","",-MAX(0,E20)*Assumptions!$B$35)</f>
        <v/>
      </c>
      <c r="F22" s="36" t="str">
        <f>IF(F20="","",-MAX(0,F20)*Assumptions!$B$35)</f>
        <v/>
      </c>
      <c r="G22" s="36" t="str">
        <f>IF(G20="","",-MAX(0,G20)*Assumptions!$B$35)</f>
        <v/>
      </c>
      <c r="H22" s="36" t="str">
        <f>IF(H20="","",-MAX(0,H20)*Assumptions!$B$35)</f>
        <v/>
      </c>
      <c r="I22" s="36" t="str">
        <f>IF(I20="","",-MAX(0,I20)*Assumptions!$B$35)</f>
        <v/>
      </c>
      <c r="J22" s="36" t="str">
        <f>IF(J20="","",-MAX(0,J20)*Assumptions!$B$35)</f>
        <v/>
      </c>
      <c r="K22" s="36" t="str">
        <f>IF(K20="","",-MAX(0,K20)*Assumptions!$B$35)</f>
        <v/>
      </c>
    </row>
    <row r="23" spans="1:11" x14ac:dyDescent="0.35">
      <c r="A23" s="30" t="s">
        <v>163</v>
      </c>
      <c r="B23" s="37" t="str">
        <f>IF(B20="","",SUM(B20:B22))</f>
        <v/>
      </c>
      <c r="C23" s="37" t="str">
        <f>IF(C20="","",SUM(C20:C22))</f>
        <v/>
      </c>
      <c r="D23" s="37" t="str">
        <f>IF(D20="","",SUM(D20:D22))</f>
        <v/>
      </c>
      <c r="E23" s="37" t="str">
        <f>IF(E20="","",SUM(E20:E22))</f>
        <v/>
      </c>
      <c r="F23" s="37" t="str">
        <f>IF(F20="","",SUM(F20:F22))</f>
        <v/>
      </c>
      <c r="G23" s="37" t="str">
        <f>IF(G20="","",SUM(G20:G22))</f>
        <v/>
      </c>
      <c r="H23" s="37" t="str">
        <f>IF(H20="","",SUM(H20:H22))</f>
        <v/>
      </c>
      <c r="I23" s="37" t="str">
        <f>IF(I20="","",SUM(I20:I22))</f>
        <v/>
      </c>
      <c r="J23" s="37" t="str">
        <f>IF(J20="","",SUM(J20:J22))</f>
        <v/>
      </c>
      <c r="K23" s="37" t="str">
        <f>IF(K20="","",SUM(K20:K22))</f>
        <v/>
      </c>
    </row>
    <row r="24" spans="1:11" x14ac:dyDescent="0.35">
      <c r="A24" s="26" t="s">
        <v>89</v>
      </c>
      <c r="B24" s="36" t="str">
        <f>IF(B13="","",-B13*Assumptions!$B$36)</f>
        <v/>
      </c>
      <c r="C24" s="36" t="str">
        <f>IF(C13="","",-C13*Assumptions!$B$36)</f>
        <v/>
      </c>
      <c r="D24" s="36" t="str">
        <f>IF(D13="","",-D13*Assumptions!$B$36)</f>
        <v/>
      </c>
      <c r="E24" s="36" t="str">
        <f>IF(E13="","",-E13*Assumptions!$B$36)</f>
        <v/>
      </c>
      <c r="F24" s="36" t="str">
        <f>IF(F13="","",-F13*Assumptions!$B$36)</f>
        <v/>
      </c>
      <c r="G24" s="36" t="str">
        <f>IF(G13="","",-G13*Assumptions!$B$36)</f>
        <v/>
      </c>
      <c r="H24" s="36" t="str">
        <f>IF(H13="","",-H13*Assumptions!$B$36)</f>
        <v/>
      </c>
      <c r="I24" s="36" t="str">
        <f>IF(I13="","",-I13*Assumptions!$B$36)</f>
        <v/>
      </c>
      <c r="J24" s="36" t="str">
        <f>IF(J13="","",-J13*Assumptions!$B$36)</f>
        <v/>
      </c>
      <c r="K24" s="36" t="str">
        <f>IF(K13="","",-K13*Assumptions!$B$36)</f>
        <v/>
      </c>
    </row>
    <row r="25" spans="1:11" x14ac:dyDescent="0.35">
      <c r="A25" s="30" t="s">
        <v>164</v>
      </c>
      <c r="B25" s="37" t="str">
        <f>IF(B23="","",SUM(B23:B24))</f>
        <v/>
      </c>
      <c r="C25" s="37" t="str">
        <f>IF(C23="","",SUM(C23:C24))</f>
        <v/>
      </c>
      <c r="D25" s="37" t="str">
        <f>IF(D23="","",SUM(D23:D24))</f>
        <v/>
      </c>
      <c r="E25" s="37" t="str">
        <f>IF(E23="","",SUM(E23:E24))</f>
        <v/>
      </c>
      <c r="F25" s="37" t="str">
        <f>IF(F23="","",SUM(F23:F24))</f>
        <v/>
      </c>
      <c r="G25" s="37" t="str">
        <f>IF(G23="","",SUM(G23:G24))</f>
        <v/>
      </c>
      <c r="H25" s="37" t="str">
        <f>IF(H23="","",SUM(H23:H24))</f>
        <v/>
      </c>
      <c r="I25" s="37" t="str">
        <f>IF(I23="","",SUM(I23:I24))</f>
        <v/>
      </c>
      <c r="J25" s="37" t="str">
        <f>IF(J23="","",SUM(J23:J24))</f>
        <v/>
      </c>
      <c r="K25" s="37" t="str">
        <f>IF(K23="","",SUM(K23:K24))</f>
        <v/>
      </c>
    </row>
  </sheetData>
  <mergeCells count="2">
    <mergeCell ref="A1:K1"/>
    <mergeCell ref="A2:K2"/>
  </mergeCells>
  <pageMargins left="0.7" right="0.7" top="0.75" bottom="0.75" header="0.3" footer="0.3"/>
  <pageSetup scale="4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4FA7-CC76-49E4-A7DE-A2D8D3490360}">
  <dimension ref="A1:L18"/>
  <sheetViews>
    <sheetView showGridLines="0" view="pageBreakPreview" zoomScale="60" zoomScaleNormal="100" workbookViewId="0">
      <pane ySplit="4" topLeftCell="A5" activePane="bottomLeft" state="frozen"/>
      <selection pane="bottomLeft" sqref="A1:L18"/>
    </sheetView>
  </sheetViews>
  <sheetFormatPr defaultRowHeight="14.5" x14ac:dyDescent="0.35"/>
  <cols>
    <col min="1" max="1" width="38.1796875" customWidth="1"/>
    <col min="2" max="11" width="16.36328125" customWidth="1"/>
  </cols>
  <sheetData>
    <row r="1" spans="1:12" ht="21" x14ac:dyDescent="0.5">
      <c r="A1" s="40" t="s">
        <v>165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35">
      <c r="A2" s="25" t="s">
        <v>166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3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35">
      <c r="A4" s="27" t="s">
        <v>167</v>
      </c>
      <c r="B4" s="27" t="s">
        <v>134</v>
      </c>
      <c r="C4" s="27" t="s">
        <v>135</v>
      </c>
      <c r="D4" s="27" t="s">
        <v>136</v>
      </c>
      <c r="E4" s="27" t="s">
        <v>137</v>
      </c>
      <c r="F4" s="27" t="s">
        <v>138</v>
      </c>
      <c r="G4" s="27" t="s">
        <v>139</v>
      </c>
      <c r="H4" s="27" t="s">
        <v>140</v>
      </c>
      <c r="I4" s="27" t="s">
        <v>141</v>
      </c>
      <c r="J4" s="27" t="s">
        <v>142</v>
      </c>
      <c r="K4" s="27" t="s">
        <v>143</v>
      </c>
      <c r="L4" s="26"/>
    </row>
    <row r="5" spans="1:12" x14ac:dyDescent="0.35">
      <c r="A5" s="26" t="s">
        <v>168</v>
      </c>
      <c r="B5" s="29" t="str">
        <f>Operations!B13</f>
        <v/>
      </c>
      <c r="C5" s="29" t="str">
        <f>Operations!C13</f>
        <v/>
      </c>
      <c r="D5" s="29" t="str">
        <f>Operations!D13</f>
        <v/>
      </c>
      <c r="E5" s="29" t="str">
        <f>Operations!E13</f>
        <v/>
      </c>
      <c r="F5" s="29" t="str">
        <f>Operations!F13</f>
        <v/>
      </c>
      <c r="G5" s="29" t="str">
        <f>Operations!G13</f>
        <v/>
      </c>
      <c r="H5" s="29" t="str">
        <f>Operations!H13</f>
        <v/>
      </c>
      <c r="I5" s="29" t="str">
        <f>Operations!I13</f>
        <v/>
      </c>
      <c r="J5" s="29" t="str">
        <f>Operations!J13</f>
        <v/>
      </c>
      <c r="K5" s="29" t="str">
        <f>Operations!K13</f>
        <v/>
      </c>
      <c r="L5" s="26"/>
    </row>
    <row r="6" spans="1:12" x14ac:dyDescent="0.35">
      <c r="A6" s="30" t="s">
        <v>164</v>
      </c>
      <c r="B6" s="31" t="str">
        <f>Operations!B25</f>
        <v/>
      </c>
      <c r="C6" s="31" t="str">
        <f>Operations!C25</f>
        <v/>
      </c>
      <c r="D6" s="31" t="str">
        <f>Operations!D25</f>
        <v/>
      </c>
      <c r="E6" s="31" t="str">
        <f>Operations!E25</f>
        <v/>
      </c>
      <c r="F6" s="31" t="str">
        <f>Operations!F25</f>
        <v/>
      </c>
      <c r="G6" s="31" t="str">
        <f>Operations!G25</f>
        <v/>
      </c>
      <c r="H6" s="31" t="str">
        <f>Operations!H25</f>
        <v/>
      </c>
      <c r="I6" s="31" t="str">
        <f>Operations!I25</f>
        <v/>
      </c>
      <c r="J6" s="31" t="str">
        <f>Operations!J25</f>
        <v/>
      </c>
      <c r="K6" s="31" t="str">
        <f>Operations!K25</f>
        <v/>
      </c>
      <c r="L6" s="26"/>
    </row>
    <row r="7" spans="1:12" x14ac:dyDescent="0.35">
      <c r="A7" s="26" t="s">
        <v>169</v>
      </c>
      <c r="B7" s="29" t="str">
        <f>IF(Development!$D$22=0,"",-(Development!$D$6+Development!$D$7+Development!$D$8)/MAX(1,Assumptions!$B$20))</f>
        <v/>
      </c>
      <c r="C7" s="29" t="str">
        <f>IF(Development!$D$22=0,"",-(Development!$D$6+Development!$D$7+Development!$D$8)/MAX(1,Assumptions!$B$20))</f>
        <v/>
      </c>
      <c r="D7" s="29" t="str">
        <f>IF(Development!$D$22=0,"",-(Development!$D$6+Development!$D$7+Development!$D$8)/MAX(1,Assumptions!$B$20))</f>
        <v/>
      </c>
      <c r="E7" s="29" t="str">
        <f>IF(Development!$D$22=0,"",-(Development!$D$6+Development!$D$7+Development!$D$8)/MAX(1,Assumptions!$B$20))</f>
        <v/>
      </c>
      <c r="F7" s="29" t="str">
        <f>IF(Development!$D$22=0,"",-(Development!$D$6+Development!$D$7+Development!$D$8)/MAX(1,Assumptions!$B$20))</f>
        <v/>
      </c>
      <c r="G7" s="29" t="str">
        <f>IF(Development!$D$22=0,"",-(Development!$D$6+Development!$D$7+Development!$D$8)/MAX(1,Assumptions!$B$20))</f>
        <v/>
      </c>
      <c r="H7" s="29" t="str">
        <f>IF(Development!$D$22=0,"",-(Development!$D$6+Development!$D$7+Development!$D$8)/MAX(1,Assumptions!$B$20))</f>
        <v/>
      </c>
      <c r="I7" s="29" t="str">
        <f>IF(Development!$D$22=0,"",-(Development!$D$6+Development!$D$7+Development!$D$8)/MAX(1,Assumptions!$B$20))</f>
        <v/>
      </c>
      <c r="J7" s="29" t="str">
        <f>IF(Development!$D$22=0,"",-(Development!$D$6+Development!$D$7+Development!$D$8)/MAX(1,Assumptions!$B$20))</f>
        <v/>
      </c>
      <c r="K7" s="29" t="str">
        <f>IF(Development!$D$22=0,"",-(Development!$D$6+Development!$D$7+Development!$D$8)/MAX(1,Assumptions!$B$20))</f>
        <v/>
      </c>
      <c r="L7" s="26"/>
    </row>
    <row r="8" spans="1:12" x14ac:dyDescent="0.35">
      <c r="A8" s="30" t="s">
        <v>170</v>
      </c>
      <c r="B8" s="31" t="str">
        <f>IF(B6="","",SUM(B6:B7))</f>
        <v/>
      </c>
      <c r="C8" s="31" t="str">
        <f>IF(C6="","",SUM(C6:C7))</f>
        <v/>
      </c>
      <c r="D8" s="31" t="str">
        <f>IF(D6="","",SUM(D6:D7))</f>
        <v/>
      </c>
      <c r="E8" s="31" t="str">
        <f>IF(E6="","",SUM(E6:E7))</f>
        <v/>
      </c>
      <c r="F8" s="31" t="str">
        <f>IF(F6="","",SUM(F6:F7))</f>
        <v/>
      </c>
      <c r="G8" s="31" t="str">
        <f>IF(G6="","",SUM(G6:G7))</f>
        <v/>
      </c>
      <c r="H8" s="31" t="str">
        <f>IF(H6="","",SUM(H6:H7))</f>
        <v/>
      </c>
      <c r="I8" s="31" t="str">
        <f>IF(I6="","",SUM(I6:I7))</f>
        <v/>
      </c>
      <c r="J8" s="31" t="str">
        <f>IF(J6="","",SUM(J6:J7))</f>
        <v/>
      </c>
      <c r="K8" s="31" t="str">
        <f>IF(K6="","",SUM(K6:K7))</f>
        <v/>
      </c>
      <c r="L8" s="26"/>
    </row>
    <row r="9" spans="1:12" x14ac:dyDescent="0.35">
      <c r="A9" s="26" t="s">
        <v>145</v>
      </c>
      <c r="B9" s="29">
        <f>Financing!B13</f>
        <v>0</v>
      </c>
      <c r="C9" s="29">
        <f>Financing!C13</f>
        <v>0</v>
      </c>
      <c r="D9" s="29">
        <f>Financing!D13</f>
        <v>0</v>
      </c>
      <c r="E9" s="29">
        <f>Financing!E13</f>
        <v>0</v>
      </c>
      <c r="F9" s="29">
        <f>Financing!F13</f>
        <v>0</v>
      </c>
      <c r="G9" s="29">
        <f>Financing!G13</f>
        <v>0</v>
      </c>
      <c r="H9" s="29">
        <f>Financing!H13</f>
        <v>0</v>
      </c>
      <c r="I9" s="29">
        <f>Financing!I13</f>
        <v>0</v>
      </c>
      <c r="J9" s="29">
        <f>Financing!J13</f>
        <v>0</v>
      </c>
      <c r="K9" s="29">
        <f>Financing!K13</f>
        <v>0</v>
      </c>
      <c r="L9" s="26"/>
    </row>
    <row r="10" spans="1:12" x14ac:dyDescent="0.35">
      <c r="A10" s="26" t="s">
        <v>171</v>
      </c>
      <c r="B10" s="29" t="str">
        <f>IF(B8="","",SUM(B8:B9))</f>
        <v/>
      </c>
      <c r="C10" s="29" t="str">
        <f>IF(C8="","",SUM(C8:C9))</f>
        <v/>
      </c>
      <c r="D10" s="29" t="str">
        <f>IF(D8="","",SUM(D8:D9))</f>
        <v/>
      </c>
      <c r="E10" s="29" t="str">
        <f>IF(E8="","",SUM(E8:E9))</f>
        <v/>
      </c>
      <c r="F10" s="29" t="str">
        <f>IF(F8="","",SUM(F8:F9))</f>
        <v/>
      </c>
      <c r="G10" s="29" t="str">
        <f>IF(G8="","",SUM(G8:G9))</f>
        <v/>
      </c>
      <c r="H10" s="29" t="str">
        <f>IF(H8="","",SUM(H8:H9))</f>
        <v/>
      </c>
      <c r="I10" s="29" t="str">
        <f>IF(I8="","",SUM(I8:I9))</f>
        <v/>
      </c>
      <c r="J10" s="29" t="str">
        <f>IF(J8="","",SUM(J8:J9))</f>
        <v/>
      </c>
      <c r="K10" s="29" t="str">
        <f>IF(K8="","",SUM(K8:K9))</f>
        <v/>
      </c>
      <c r="L10" s="26"/>
    </row>
    <row r="11" spans="1:12" x14ac:dyDescent="0.35">
      <c r="A11" s="26" t="s">
        <v>172</v>
      </c>
      <c r="B11" s="29" t="str">
        <f>IF(B10="","",-MAX(0,B10)*Assumptions!$B$45)</f>
        <v/>
      </c>
      <c r="C11" s="29" t="str">
        <f>IF(C10="","",-MAX(0,C10)*Assumptions!$B$45)</f>
        <v/>
      </c>
      <c r="D11" s="29" t="str">
        <f>IF(D10="","",-MAX(0,D10)*Assumptions!$B$45)</f>
        <v/>
      </c>
      <c r="E11" s="29" t="str">
        <f>IF(E10="","",-MAX(0,E10)*Assumptions!$B$45)</f>
        <v/>
      </c>
      <c r="F11" s="29" t="str">
        <f>IF(F10="","",-MAX(0,F10)*Assumptions!$B$45)</f>
        <v/>
      </c>
      <c r="G11" s="29" t="str">
        <f>IF(G10="","",-MAX(0,G10)*Assumptions!$B$45)</f>
        <v/>
      </c>
      <c r="H11" s="29" t="str">
        <f>IF(H10="","",-MAX(0,H10)*Assumptions!$B$45)</f>
        <v/>
      </c>
      <c r="I11" s="29" t="str">
        <f>IF(I10="","",-MAX(0,I10)*Assumptions!$B$45)</f>
        <v/>
      </c>
      <c r="J11" s="29" t="str">
        <f>IF(J10="","",-MAX(0,J10)*Assumptions!$B$45)</f>
        <v/>
      </c>
      <c r="K11" s="29" t="str">
        <f>IF(K10="","",-MAX(0,K10)*Assumptions!$B$45)</f>
        <v/>
      </c>
      <c r="L11" s="26"/>
    </row>
    <row r="12" spans="1:12" x14ac:dyDescent="0.35">
      <c r="A12" s="30" t="s">
        <v>173</v>
      </c>
      <c r="B12" s="31" t="str">
        <f>IF(B10="","",SUM(B10:B11))</f>
        <v/>
      </c>
      <c r="C12" s="31" t="str">
        <f>IF(C10="","",SUM(C10:C11))</f>
        <v/>
      </c>
      <c r="D12" s="31" t="str">
        <f>IF(D10="","",SUM(D10:D11))</f>
        <v/>
      </c>
      <c r="E12" s="31" t="str">
        <f>IF(E10="","",SUM(E10:E11))</f>
        <v/>
      </c>
      <c r="F12" s="31" t="str">
        <f>IF(F10="","",SUM(F10:F11))</f>
        <v/>
      </c>
      <c r="G12" s="31" t="str">
        <f>IF(G10="","",SUM(G10:G11))</f>
        <v/>
      </c>
      <c r="H12" s="31" t="str">
        <f>IF(H10="","",SUM(H10:H11))</f>
        <v/>
      </c>
      <c r="I12" s="31" t="str">
        <f>IF(I10="","",SUM(I10:I11))</f>
        <v/>
      </c>
      <c r="J12" s="31" t="str">
        <f>IF(J10="","",SUM(J10:J11))</f>
        <v/>
      </c>
      <c r="K12" s="31" t="str">
        <f>IF(K10="","",SUM(K10:K11))</f>
        <v/>
      </c>
      <c r="L12" s="26"/>
    </row>
    <row r="13" spans="1:12" x14ac:dyDescent="0.35">
      <c r="A13" s="26" t="s">
        <v>174</v>
      </c>
      <c r="B13" s="29" t="str">
        <f>IF(B12="","",-B7)</f>
        <v/>
      </c>
      <c r="C13" s="29" t="str">
        <f>IF(C12="","",-C7)</f>
        <v/>
      </c>
      <c r="D13" s="29" t="str">
        <f>IF(D12="","",-D7)</f>
        <v/>
      </c>
      <c r="E13" s="29" t="str">
        <f>IF(E12="","",-E7)</f>
        <v/>
      </c>
      <c r="F13" s="29" t="str">
        <f>IF(F12="","",-F7)</f>
        <v/>
      </c>
      <c r="G13" s="29" t="str">
        <f>IF(G12="","",-G7)</f>
        <v/>
      </c>
      <c r="H13" s="29" t="str">
        <f>IF(H12="","",-H7)</f>
        <v/>
      </c>
      <c r="I13" s="29" t="str">
        <f>IF(I12="","",-I7)</f>
        <v/>
      </c>
      <c r="J13" s="29" t="str">
        <f>IF(J12="","",-J7)</f>
        <v/>
      </c>
      <c r="K13" s="29" t="str">
        <f>IF(K12="","",-K7)</f>
        <v/>
      </c>
      <c r="L13" s="26"/>
    </row>
    <row r="14" spans="1:12" x14ac:dyDescent="0.35">
      <c r="A14" s="26" t="s">
        <v>175</v>
      </c>
      <c r="B14" s="29">
        <f>IF(B5="",0,-B5*Assumptions!$B$37)</f>
        <v>0</v>
      </c>
      <c r="C14" s="29">
        <f>IF(C5="",0,-MAX(0,C5-B5)*Assumptions!$B$37)</f>
        <v>0</v>
      </c>
      <c r="D14" s="29">
        <f>IF(D5="",0,-MAX(0,D5-C5)*Assumptions!$B$37)</f>
        <v>0</v>
      </c>
      <c r="E14" s="29">
        <f>IF(E5="",0,-MAX(0,E5-D5)*Assumptions!$B$37)</f>
        <v>0</v>
      </c>
      <c r="F14" s="29">
        <f>IF(F5="",0,-MAX(0,F5-E5)*Assumptions!$B$37)</f>
        <v>0</v>
      </c>
      <c r="G14" s="29">
        <f>IF(G5="",0,-MAX(0,G5-F5)*Assumptions!$B$37)</f>
        <v>0</v>
      </c>
      <c r="H14" s="29">
        <f>IF(H5="",0,-MAX(0,H5-G5)*Assumptions!$B$37)</f>
        <v>0</v>
      </c>
      <c r="I14" s="29">
        <f>IF(I5="",0,-MAX(0,I5-H5)*Assumptions!$B$37)</f>
        <v>0</v>
      </c>
      <c r="J14" s="29">
        <f>IF(J5="",0,-MAX(0,J5-I5)*Assumptions!$B$37)</f>
        <v>0</v>
      </c>
      <c r="K14" s="29">
        <f>IF(K5="",0,-MAX(0,K5-J5)*Assumptions!$B$37)</f>
        <v>0</v>
      </c>
      <c r="L14" s="26"/>
    </row>
    <row r="15" spans="1:12" x14ac:dyDescent="0.35">
      <c r="A15" s="30" t="s">
        <v>176</v>
      </c>
      <c r="B15" s="31" t="str">
        <f>IF(B6="","",SUM(B6,B11,B14))</f>
        <v/>
      </c>
      <c r="C15" s="31" t="str">
        <f>IF(C6="","",SUM(C6,C11,C14))</f>
        <v/>
      </c>
      <c r="D15" s="31" t="str">
        <f>IF(D6="","",SUM(D6,D11,D14))</f>
        <v/>
      </c>
      <c r="E15" s="31" t="str">
        <f>IF(E6="","",SUM(E6,E11,E14))</f>
        <v/>
      </c>
      <c r="F15" s="31" t="str">
        <f>IF(F6="","",SUM(F6,F11,F14))</f>
        <v/>
      </c>
      <c r="G15" s="31" t="str">
        <f>IF(G6="","",SUM(G6,G11,G14))</f>
        <v/>
      </c>
      <c r="H15" s="31" t="str">
        <f>IF(H6="","",SUM(H6,H11,H14))</f>
        <v/>
      </c>
      <c r="I15" s="31" t="str">
        <f>IF(I6="","",SUM(I6,I11,I14))</f>
        <v/>
      </c>
      <c r="J15" s="31" t="str">
        <f>IF(J6="","",SUM(J6,J11,J14))</f>
        <v/>
      </c>
      <c r="K15" s="31" t="str">
        <f>IF(K6="","",SUM(K6,K11,K14))</f>
        <v/>
      </c>
      <c r="L15" s="26"/>
    </row>
    <row r="16" spans="1:12" x14ac:dyDescent="0.35">
      <c r="A16" s="26" t="s">
        <v>146</v>
      </c>
      <c r="B16" s="29">
        <f>Financing!B14</f>
        <v>0</v>
      </c>
      <c r="C16" s="29">
        <f>Financing!C14</f>
        <v>0</v>
      </c>
      <c r="D16" s="29">
        <f>Financing!D14</f>
        <v>0</v>
      </c>
      <c r="E16" s="29">
        <f>Financing!E14</f>
        <v>0</v>
      </c>
      <c r="F16" s="29">
        <f>Financing!F14</f>
        <v>0</v>
      </c>
      <c r="G16" s="29">
        <f>Financing!G14</f>
        <v>0</v>
      </c>
      <c r="H16" s="29">
        <f>Financing!H14</f>
        <v>0</v>
      </c>
      <c r="I16" s="29">
        <f>Financing!I14</f>
        <v>0</v>
      </c>
      <c r="J16" s="29">
        <f>Financing!J14</f>
        <v>0</v>
      </c>
      <c r="K16" s="29">
        <f>Financing!K14</f>
        <v>0</v>
      </c>
      <c r="L16" s="26"/>
    </row>
    <row r="17" spans="1:12" x14ac:dyDescent="0.35">
      <c r="A17" s="30" t="s">
        <v>177</v>
      </c>
      <c r="B17" s="31" t="str">
        <f>IF(B15="","",SUM(B15,Financing!B13,B16))</f>
        <v/>
      </c>
      <c r="C17" s="31" t="str">
        <f>IF(C15="","",SUM(C15,Financing!C13,C16))</f>
        <v/>
      </c>
      <c r="D17" s="31" t="str">
        <f>IF(D15="","",SUM(D15,Financing!D13,D16))</f>
        <v/>
      </c>
      <c r="E17" s="31" t="str">
        <f>IF(E15="","",SUM(E15,Financing!E13,E16))</f>
        <v/>
      </c>
      <c r="F17" s="31" t="str">
        <f>IF(F15="","",SUM(F15,Financing!F13,F16))</f>
        <v/>
      </c>
      <c r="G17" s="31" t="str">
        <f>IF(G15="","",SUM(G15,Financing!G13,G16))</f>
        <v/>
      </c>
      <c r="H17" s="31" t="str">
        <f>IF(H15="","",SUM(H15,Financing!H13,H16))</f>
        <v/>
      </c>
      <c r="I17" s="31" t="str">
        <f>IF(I15="","",SUM(I15,Financing!I13,I16))</f>
        <v/>
      </c>
      <c r="J17" s="31" t="str">
        <f>IF(J15="","",SUM(J15,Financing!J13,J16))</f>
        <v/>
      </c>
      <c r="K17" s="31" t="str">
        <f>IF(K15="","",SUM(K15,Financing!K13,K16))</f>
        <v/>
      </c>
      <c r="L17" s="26"/>
    </row>
    <row r="18" spans="1:12" x14ac:dyDescent="0.35">
      <c r="A18" s="30" t="s">
        <v>178</v>
      </c>
      <c r="B18" s="31">
        <f>SUM(-Financing!$B$6,B17)</f>
        <v>0</v>
      </c>
      <c r="C18" s="31">
        <f>SUM(B18,C17)</f>
        <v>0</v>
      </c>
      <c r="D18" s="31">
        <f>SUM(C18,D17)</f>
        <v>0</v>
      </c>
      <c r="E18" s="31">
        <f>SUM(D18,E17)</f>
        <v>0</v>
      </c>
      <c r="F18" s="31">
        <f>SUM(E18,F17)</f>
        <v>0</v>
      </c>
      <c r="G18" s="31">
        <f>SUM(F18,G17)</f>
        <v>0</v>
      </c>
      <c r="H18" s="31">
        <f>SUM(G18,H17)</f>
        <v>0</v>
      </c>
      <c r="I18" s="31">
        <f>SUM(H18,I17)</f>
        <v>0</v>
      </c>
      <c r="J18" s="31">
        <f>SUM(I18,J17)</f>
        <v>0</v>
      </c>
      <c r="K18" s="31">
        <f>SUM(J18,K17)</f>
        <v>0</v>
      </c>
      <c r="L18" s="26"/>
    </row>
  </sheetData>
  <mergeCells count="2">
    <mergeCell ref="A1:L1"/>
    <mergeCell ref="A2:L2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4D66-5F98-4952-9B2B-B1AC2DEB8228}">
  <dimension ref="A1:K16"/>
  <sheetViews>
    <sheetView showGridLines="0" view="pageBreakPreview" zoomScale="60" zoomScaleNormal="100" workbookViewId="0">
      <pane ySplit="11" topLeftCell="A12" activePane="bottomLeft" state="frozen"/>
      <selection pane="bottomLeft" sqref="A1:K16"/>
    </sheetView>
  </sheetViews>
  <sheetFormatPr defaultRowHeight="14.5" x14ac:dyDescent="0.35"/>
  <cols>
    <col min="1" max="1" width="34.54296875" customWidth="1"/>
    <col min="2" max="11" width="16.36328125" customWidth="1"/>
  </cols>
  <sheetData>
    <row r="1" spans="1:11" ht="21" x14ac:dyDescent="0.5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5">
      <c r="A2" s="25" t="s">
        <v>128</v>
      </c>
      <c r="B2" s="25"/>
      <c r="C2" s="25"/>
      <c r="D2" s="25"/>
      <c r="E2" s="25"/>
      <c r="F2" s="25"/>
      <c r="G2" s="25"/>
      <c r="H2" s="25"/>
      <c r="I2" s="26"/>
      <c r="J2" s="26"/>
      <c r="K2" s="26"/>
    </row>
    <row r="3" spans="1:11" x14ac:dyDescent="0.3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35">
      <c r="A4" s="27" t="s">
        <v>129</v>
      </c>
      <c r="B4" s="27" t="s">
        <v>130</v>
      </c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35">
      <c r="A5" s="26" t="s">
        <v>122</v>
      </c>
      <c r="B5" s="29">
        <f>Development!D22*Assumptions!B40</f>
        <v>0</v>
      </c>
      <c r="C5" s="26"/>
      <c r="D5" s="26"/>
      <c r="E5" s="26"/>
      <c r="F5" s="26"/>
      <c r="G5" s="26"/>
      <c r="H5" s="26"/>
      <c r="I5" s="26"/>
      <c r="J5" s="26"/>
      <c r="K5" s="26"/>
    </row>
    <row r="6" spans="1:11" x14ac:dyDescent="0.35">
      <c r="A6" s="26" t="s">
        <v>123</v>
      </c>
      <c r="B6" s="29">
        <f>Development!D22-B5</f>
        <v>0</v>
      </c>
      <c r="C6" s="26"/>
      <c r="D6" s="26"/>
      <c r="E6" s="26"/>
      <c r="F6" s="26"/>
      <c r="G6" s="26"/>
      <c r="H6" s="26"/>
      <c r="I6" s="26"/>
      <c r="J6" s="26"/>
      <c r="K6" s="26"/>
    </row>
    <row r="7" spans="1:11" x14ac:dyDescent="0.35">
      <c r="A7" s="26" t="s">
        <v>131</v>
      </c>
      <c r="B7" s="28">
        <f>IFERROR(B5/Development!D22,0)</f>
        <v>0</v>
      </c>
      <c r="C7" s="26"/>
      <c r="D7" s="26"/>
      <c r="E7" s="26"/>
      <c r="F7" s="26"/>
      <c r="G7" s="26"/>
      <c r="H7" s="26"/>
      <c r="I7" s="26"/>
      <c r="J7" s="26"/>
      <c r="K7" s="26"/>
    </row>
    <row r="8" spans="1:11" x14ac:dyDescent="0.35">
      <c r="A8" s="26" t="s">
        <v>132</v>
      </c>
      <c r="B8" s="29">
        <f>Development!D12</f>
        <v>0</v>
      </c>
      <c r="C8" s="26"/>
      <c r="D8" s="26"/>
      <c r="E8" s="26"/>
      <c r="F8" s="26"/>
      <c r="G8" s="26"/>
      <c r="H8" s="26"/>
      <c r="I8" s="26"/>
      <c r="J8" s="26"/>
      <c r="K8" s="26"/>
    </row>
    <row r="9" spans="1:11" x14ac:dyDescent="0.3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x14ac:dyDescent="0.3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35">
      <c r="A11" s="27" t="s">
        <v>133</v>
      </c>
      <c r="B11" s="27" t="s">
        <v>134</v>
      </c>
      <c r="C11" s="27" t="s">
        <v>135</v>
      </c>
      <c r="D11" s="27" t="s">
        <v>136</v>
      </c>
      <c r="E11" s="27" t="s">
        <v>137</v>
      </c>
      <c r="F11" s="27" t="s">
        <v>138</v>
      </c>
      <c r="G11" s="27" t="s">
        <v>139</v>
      </c>
      <c r="H11" s="27" t="s">
        <v>140</v>
      </c>
      <c r="I11" s="27" t="s">
        <v>141</v>
      </c>
      <c r="J11" s="27" t="s">
        <v>142</v>
      </c>
      <c r="K11" s="27" t="s">
        <v>143</v>
      </c>
    </row>
    <row r="12" spans="1:11" x14ac:dyDescent="0.35">
      <c r="A12" s="26" t="s">
        <v>144</v>
      </c>
      <c r="B12" s="29">
        <f>$B$5</f>
        <v>0</v>
      </c>
      <c r="C12" s="29">
        <f>B16</f>
        <v>0</v>
      </c>
      <c r="D12" s="29">
        <f>C16</f>
        <v>0</v>
      </c>
      <c r="E12" s="29">
        <f>D16</f>
        <v>0</v>
      </c>
      <c r="F12" s="29">
        <f>E16</f>
        <v>0</v>
      </c>
      <c r="G12" s="29">
        <f>F16</f>
        <v>0</v>
      </c>
      <c r="H12" s="29">
        <f>G16</f>
        <v>0</v>
      </c>
      <c r="I12" s="29">
        <f>H16</f>
        <v>0</v>
      </c>
      <c r="J12" s="29">
        <f>I16</f>
        <v>0</v>
      </c>
      <c r="K12" s="29">
        <f>J16</f>
        <v>0</v>
      </c>
    </row>
    <row r="13" spans="1:11" x14ac:dyDescent="0.35">
      <c r="A13" s="26" t="s">
        <v>145</v>
      </c>
      <c r="B13" s="29">
        <f>-B12*Assumptions!$B$41</f>
        <v>0</v>
      </c>
      <c r="C13" s="29">
        <f>-C12*Assumptions!$B$41</f>
        <v>0</v>
      </c>
      <c r="D13" s="29">
        <f>-D12*Assumptions!$B$41</f>
        <v>0</v>
      </c>
      <c r="E13" s="29">
        <f>-E12*Assumptions!$B$41</f>
        <v>0</v>
      </c>
      <c r="F13" s="29">
        <f>-F12*Assumptions!$B$41</f>
        <v>0</v>
      </c>
      <c r="G13" s="29">
        <f>-G12*Assumptions!$B$41</f>
        <v>0</v>
      </c>
      <c r="H13" s="29">
        <f>-H12*Assumptions!$B$41</f>
        <v>0</v>
      </c>
      <c r="I13" s="29">
        <f>-I12*Assumptions!$B$41</f>
        <v>0</v>
      </c>
      <c r="J13" s="29">
        <f>-J12*Assumptions!$B$41</f>
        <v>0</v>
      </c>
      <c r="K13" s="29">
        <f>-K12*Assumptions!$B$41</f>
        <v>0</v>
      </c>
    </row>
    <row r="14" spans="1:11" x14ac:dyDescent="0.35">
      <c r="A14" s="26" t="s">
        <v>146</v>
      </c>
      <c r="B14" s="29">
        <f>IF(OR(B12=0,COLUMN()-1&lt;=Assumptions!$B$43),0,-MIN(B12,$B$5/MAX(1,Assumptions!$B$42-Assumptions!$B$43)))</f>
        <v>0</v>
      </c>
      <c r="C14" s="29">
        <f>IF(OR(C12=0,COLUMN()-1&lt;=Assumptions!$B$43),0,-MIN(C12,$B$5/MAX(1,Assumptions!$B$42-Assumptions!$B$43)))</f>
        <v>0</v>
      </c>
      <c r="D14" s="29">
        <f>IF(OR(D12=0,COLUMN()-1&lt;=Assumptions!$B$43),0,-MIN(D12,$B$5/MAX(1,Assumptions!$B$42-Assumptions!$B$43)))</f>
        <v>0</v>
      </c>
      <c r="E14" s="29">
        <f>IF(OR(E12=0,COLUMN()-1&lt;=Assumptions!$B$43),0,-MIN(E12,$B$5/MAX(1,Assumptions!$B$42-Assumptions!$B$43)))</f>
        <v>0</v>
      </c>
      <c r="F14" s="29">
        <f>IF(OR(F12=0,COLUMN()-1&lt;=Assumptions!$B$43),0,-MIN(F12,$B$5/MAX(1,Assumptions!$B$42-Assumptions!$B$43)))</f>
        <v>0</v>
      </c>
      <c r="G14" s="29">
        <f>IF(OR(G12=0,COLUMN()-1&lt;=Assumptions!$B$43),0,-MIN(G12,$B$5/MAX(1,Assumptions!$B$42-Assumptions!$B$43)))</f>
        <v>0</v>
      </c>
      <c r="H14" s="29">
        <f>IF(OR(H12=0,COLUMN()-1&lt;=Assumptions!$B$43),0,-MIN(H12,$B$5/MAX(1,Assumptions!$B$42-Assumptions!$B$43)))</f>
        <v>0</v>
      </c>
      <c r="I14" s="29">
        <f>IF(OR(I12=0,COLUMN()-1&lt;=Assumptions!$B$43),0,-MIN(I12,$B$5/MAX(1,Assumptions!$B$42-Assumptions!$B$43)))</f>
        <v>0</v>
      </c>
      <c r="J14" s="29">
        <f>IF(OR(J12=0,COLUMN()-1&lt;=Assumptions!$B$43),0,-MIN(J12,$B$5/MAX(1,Assumptions!$B$42-Assumptions!$B$43)))</f>
        <v>0</v>
      </c>
      <c r="K14" s="29">
        <f>IF(OR(K12=0,COLUMN()-1&lt;=Assumptions!$B$43),0,-MIN(K12,$B$5/MAX(1,Assumptions!$B$42-Assumptions!$B$43)))</f>
        <v>0</v>
      </c>
    </row>
    <row r="15" spans="1:11" x14ac:dyDescent="0.35">
      <c r="A15" s="26" t="s">
        <v>147</v>
      </c>
      <c r="B15" s="29">
        <f>SUM(B13:B14)</f>
        <v>0</v>
      </c>
      <c r="C15" s="29">
        <f>SUM(C13:C14)</f>
        <v>0</v>
      </c>
      <c r="D15" s="29">
        <f>SUM(D13:D14)</f>
        <v>0</v>
      </c>
      <c r="E15" s="29">
        <f>SUM(E13:E14)</f>
        <v>0</v>
      </c>
      <c r="F15" s="29">
        <f>SUM(F13:F14)</f>
        <v>0</v>
      </c>
      <c r="G15" s="29">
        <f>SUM(G13:G14)</f>
        <v>0</v>
      </c>
      <c r="H15" s="29">
        <f>SUM(H13:H14)</f>
        <v>0</v>
      </c>
      <c r="I15" s="29">
        <f>SUM(I13:I14)</f>
        <v>0</v>
      </c>
      <c r="J15" s="29">
        <f>SUM(J13:J14)</f>
        <v>0</v>
      </c>
      <c r="K15" s="29">
        <f>SUM(K13:K14)</f>
        <v>0</v>
      </c>
    </row>
    <row r="16" spans="1:11" x14ac:dyDescent="0.35">
      <c r="A16" s="30" t="s">
        <v>148</v>
      </c>
      <c r="B16" s="31">
        <f>MAX(0,B12+B14)</f>
        <v>0</v>
      </c>
      <c r="C16" s="31">
        <f>MAX(0,C12+C14)</f>
        <v>0</v>
      </c>
      <c r="D16" s="31">
        <f>MAX(0,D12+D14)</f>
        <v>0</v>
      </c>
      <c r="E16" s="31">
        <f>MAX(0,E12+E14)</f>
        <v>0</v>
      </c>
      <c r="F16" s="31">
        <f>MAX(0,F12+F14)</f>
        <v>0</v>
      </c>
      <c r="G16" s="31">
        <f>MAX(0,G12+G14)</f>
        <v>0</v>
      </c>
      <c r="H16" s="31">
        <f>MAX(0,H12+H14)</f>
        <v>0</v>
      </c>
      <c r="I16" s="31">
        <f>MAX(0,I12+I14)</f>
        <v>0</v>
      </c>
      <c r="J16" s="31">
        <f>MAX(0,J12+J14)</f>
        <v>0</v>
      </c>
      <c r="K16" s="31">
        <f>MAX(0,K12+K14)</f>
        <v>0</v>
      </c>
    </row>
  </sheetData>
  <mergeCells count="2">
    <mergeCell ref="A2:H2"/>
    <mergeCell ref="A1:K1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7698-D202-44E7-9AC4-9A44756C0DCE}">
  <dimension ref="A1:L27"/>
  <sheetViews>
    <sheetView showGridLines="0" view="pageBreakPreview" zoomScale="60" zoomScaleNormal="100" workbookViewId="0">
      <pane ySplit="4" topLeftCell="A5" activePane="bottomLeft" state="frozen"/>
      <selection pane="bottomLeft" sqref="A1:L1"/>
    </sheetView>
  </sheetViews>
  <sheetFormatPr defaultRowHeight="14.5" x14ac:dyDescent="0.35"/>
  <cols>
    <col min="1" max="1" width="38.1796875" customWidth="1"/>
    <col min="2" max="12" width="16" customWidth="1"/>
  </cols>
  <sheetData>
    <row r="1" spans="1:12" ht="21" x14ac:dyDescent="0.5">
      <c r="A1" s="40" t="s">
        <v>179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x14ac:dyDescent="0.35">
      <c r="A2" s="25" t="s">
        <v>180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3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35">
      <c r="A4" s="27" t="s">
        <v>181</v>
      </c>
      <c r="B4" s="27" t="s">
        <v>43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x14ac:dyDescent="0.35">
      <c r="A5" s="26" t="s">
        <v>12</v>
      </c>
      <c r="B5" s="29">
        <f>Development!D22</f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x14ac:dyDescent="0.35">
      <c r="A6" s="26" t="s">
        <v>122</v>
      </c>
      <c r="B6" s="29">
        <f>Financing!B5</f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x14ac:dyDescent="0.35">
      <c r="A7" s="26" t="s">
        <v>123</v>
      </c>
      <c r="B7" s="29">
        <f>Financing!B6</f>
        <v>0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35">
      <c r="A8" s="26" t="s">
        <v>182</v>
      </c>
      <c r="B8" s="29">
        <f>IF(OR(Operations!K25="",Assumptions!B47=0),0,Operations!K25/Assumptions!B47)</f>
        <v>0</v>
      </c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35">
      <c r="A9" s="26" t="s">
        <v>183</v>
      </c>
      <c r="B9" s="29">
        <f>-B8*Assumptions!B48</f>
        <v>0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x14ac:dyDescent="0.35">
      <c r="A10" s="26" t="s">
        <v>184</v>
      </c>
      <c r="B10" s="29">
        <f>-Financing!K16</f>
        <v>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35">
      <c r="A11" s="26" t="s">
        <v>185</v>
      </c>
      <c r="B11" s="29">
        <f>SUM(B8:B10)</f>
        <v>0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3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35">
      <c r="A13" s="27" t="s">
        <v>186</v>
      </c>
      <c r="B13" s="27" t="s">
        <v>187</v>
      </c>
      <c r="C13" s="27" t="s">
        <v>134</v>
      </c>
      <c r="D13" s="27" t="s">
        <v>135</v>
      </c>
      <c r="E13" s="27" t="s">
        <v>136</v>
      </c>
      <c r="F13" s="27" t="s">
        <v>137</v>
      </c>
      <c r="G13" s="27" t="s">
        <v>138</v>
      </c>
      <c r="H13" s="27" t="s">
        <v>139</v>
      </c>
      <c r="I13" s="27" t="s">
        <v>140</v>
      </c>
      <c r="J13" s="27" t="s">
        <v>141</v>
      </c>
      <c r="K13" s="27" t="s">
        <v>142</v>
      </c>
      <c r="L13" s="27" t="s">
        <v>143</v>
      </c>
    </row>
    <row r="14" spans="1:12" x14ac:dyDescent="0.35">
      <c r="A14" s="26" t="s">
        <v>188</v>
      </c>
      <c r="B14" s="29">
        <f>-Financing!B6</f>
        <v>0</v>
      </c>
      <c r="C14" s="29" t="str">
        <f>Financials!B17</f>
        <v/>
      </c>
      <c r="D14" s="29" t="str">
        <f>Financials!C17</f>
        <v/>
      </c>
      <c r="E14" s="29" t="str">
        <f>Financials!D17</f>
        <v/>
      </c>
      <c r="F14" s="29" t="str">
        <f>Financials!E17</f>
        <v/>
      </c>
      <c r="G14" s="29" t="str">
        <f>Financials!F17</f>
        <v/>
      </c>
      <c r="H14" s="29" t="str">
        <f>Financials!G17</f>
        <v/>
      </c>
      <c r="I14" s="29" t="str">
        <f>Financials!H17</f>
        <v/>
      </c>
      <c r="J14" s="29" t="str">
        <f>Financials!I17</f>
        <v/>
      </c>
      <c r="K14" s="29" t="str">
        <f>Financials!J17</f>
        <v/>
      </c>
      <c r="L14" s="29">
        <f>SUM(Financials!K17,$B$11)</f>
        <v>0</v>
      </c>
    </row>
    <row r="15" spans="1:12" x14ac:dyDescent="0.3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x14ac:dyDescent="0.35">
      <c r="A16" s="27" t="s">
        <v>189</v>
      </c>
      <c r="B16" s="27" t="s">
        <v>190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</row>
    <row r="17" spans="1:12" x14ac:dyDescent="0.35">
      <c r="A17" s="26" t="s">
        <v>191</v>
      </c>
      <c r="B17" s="28" t="str">
        <f>IFERROR(IRR(B26:L26),"")</f>
        <v/>
      </c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12" x14ac:dyDescent="0.35">
      <c r="A18" s="26" t="s">
        <v>192</v>
      </c>
      <c r="B18" s="29" t="str">
        <f>IF(Assumptions!B46=0,"",NPV(Assumptions!B46,C26:L26)+B26)</f>
        <v/>
      </c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x14ac:dyDescent="0.35">
      <c r="A19" s="26" t="s">
        <v>17</v>
      </c>
      <c r="B19" s="28" t="str">
        <f>IFERROR(IRR(B14:L14),"")</f>
        <v/>
      </c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35">
      <c r="A20" s="26" t="s">
        <v>18</v>
      </c>
      <c r="B20" s="29" t="str">
        <f>IF(Assumptions!B46=0,"",NPV(Assumptions!B46,C14:L14)+B14)</f>
        <v/>
      </c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x14ac:dyDescent="0.35">
      <c r="A21" s="26" t="s">
        <v>19</v>
      </c>
      <c r="B21" s="26" t="str" cm="1">
        <f t="array" ref="B21">IF(Financing!B6=0,"Inputs required",IFERROR(MATCH(TRUE,INDEX(B27:L27&gt;=0,0),0)-1,"Not reached"))</f>
        <v>Inputs required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12" x14ac:dyDescent="0.35">
      <c r="A22" s="26" t="s">
        <v>193</v>
      </c>
      <c r="B22" s="26" t="str">
        <f>IF(B19="","INPUTS REQUIRED",IF(B19&gt;=Assumptions!B49,"PASS","FAIL"))</f>
        <v>INPUTS REQUIRED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x14ac:dyDescent="0.35">
      <c r="A23" s="26" t="s">
        <v>194</v>
      </c>
      <c r="B23" s="26" t="str">
        <f>IF(OR(NOT(ISNUMBER(B21)),Assumptions!B50=0),"INPUTS REQUIRED",IF(B21&lt;=Assumptions!B50,"PASS","FAIL"))</f>
        <v>INPUTS REQUIRED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x14ac:dyDescent="0.3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x14ac:dyDescent="0.35">
      <c r="A25" s="27" t="s">
        <v>195</v>
      </c>
      <c r="B25" s="27" t="s">
        <v>187</v>
      </c>
      <c r="C25" s="27" t="s">
        <v>134</v>
      </c>
      <c r="D25" s="27" t="s">
        <v>135</v>
      </c>
      <c r="E25" s="27" t="s">
        <v>136</v>
      </c>
      <c r="F25" s="27" t="s">
        <v>137</v>
      </c>
      <c r="G25" s="27" t="s">
        <v>138</v>
      </c>
      <c r="H25" s="27" t="s">
        <v>139</v>
      </c>
      <c r="I25" s="27" t="s">
        <v>140</v>
      </c>
      <c r="J25" s="27" t="s">
        <v>141</v>
      </c>
      <c r="K25" s="27" t="s">
        <v>142</v>
      </c>
      <c r="L25" s="27" t="s">
        <v>143</v>
      </c>
    </row>
    <row r="26" spans="1:12" x14ac:dyDescent="0.35">
      <c r="A26" s="26" t="s">
        <v>196</v>
      </c>
      <c r="B26" s="29">
        <f>-Development!D22</f>
        <v>0</v>
      </c>
      <c r="C26" s="29" t="str">
        <f>Financials!B15</f>
        <v/>
      </c>
      <c r="D26" s="29" t="str">
        <f>Financials!C15</f>
        <v/>
      </c>
      <c r="E26" s="29" t="str">
        <f>Financials!D15</f>
        <v/>
      </c>
      <c r="F26" s="29" t="str">
        <f>Financials!E15</f>
        <v/>
      </c>
      <c r="G26" s="29" t="str">
        <f>Financials!F15</f>
        <v/>
      </c>
      <c r="H26" s="29" t="str">
        <f>Financials!G15</f>
        <v/>
      </c>
      <c r="I26" s="29" t="str">
        <f>Financials!H15</f>
        <v/>
      </c>
      <c r="J26" s="29" t="str">
        <f>Financials!I15</f>
        <v/>
      </c>
      <c r="K26" s="29" t="str">
        <f>Financials!J15</f>
        <v/>
      </c>
      <c r="L26" s="29">
        <f>SUM(Financials!K15,B8,B9)</f>
        <v>0</v>
      </c>
    </row>
    <row r="27" spans="1:12" x14ac:dyDescent="0.35">
      <c r="A27" s="26" t="s">
        <v>178</v>
      </c>
      <c r="B27" s="29">
        <f>B14</f>
        <v>0</v>
      </c>
      <c r="C27" s="29">
        <f>SUM(B27,C14)</f>
        <v>0</v>
      </c>
      <c r="D27" s="29">
        <f>SUM(C27,D14)</f>
        <v>0</v>
      </c>
      <c r="E27" s="29">
        <f>SUM(D27,E14)</f>
        <v>0</v>
      </c>
      <c r="F27" s="29">
        <f>SUM(E27,F14)</f>
        <v>0</v>
      </c>
      <c r="G27" s="29">
        <f>SUM(F27,G14)</f>
        <v>0</v>
      </c>
      <c r="H27" s="29">
        <f>SUM(G27,H14)</f>
        <v>0</v>
      </c>
      <c r="I27" s="29">
        <f>SUM(H27,I14)</f>
        <v>0</v>
      </c>
      <c r="J27" s="29">
        <f>SUM(I27,J14)</f>
        <v>0</v>
      </c>
      <c r="K27" s="29">
        <f>SUM(J27,K14)</f>
        <v>0</v>
      </c>
      <c r="L27" s="29">
        <f>SUM(K27,L14)</f>
        <v>0</v>
      </c>
    </row>
  </sheetData>
  <mergeCells count="2">
    <mergeCell ref="A1:L1"/>
    <mergeCell ref="A2:L2"/>
  </mergeCells>
  <pageMargins left="0.7" right="0.7" top="0.75" bottom="0.75" header="0.3" footer="0.3"/>
  <pageSetup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E4E5-F5EA-45DE-9673-1AAEB02FC3DA}">
  <dimension ref="A1:L18"/>
  <sheetViews>
    <sheetView showGridLines="0" view="pageBreakPreview" zoomScale="60" zoomScaleNormal="100" workbookViewId="0">
      <selection activeCell="B8" sqref="B8"/>
    </sheetView>
  </sheetViews>
  <sheetFormatPr defaultRowHeight="14.5" x14ac:dyDescent="0.35"/>
  <cols>
    <col min="1" max="1" width="33.6328125" customWidth="1"/>
    <col min="2" max="6" width="19.08984375" customWidth="1"/>
  </cols>
  <sheetData>
    <row r="1" spans="1:12" ht="21" x14ac:dyDescent="0.5">
      <c r="A1" s="39" t="s">
        <v>197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x14ac:dyDescent="0.35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x14ac:dyDescent="0.35">
      <c r="A4" s="7" t="s">
        <v>9</v>
      </c>
      <c r="B4" s="7" t="s">
        <v>199</v>
      </c>
      <c r="C4" s="7" t="s">
        <v>200</v>
      </c>
      <c r="D4" s="7" t="s">
        <v>201</v>
      </c>
      <c r="E4" s="7" t="s">
        <v>202</v>
      </c>
    </row>
    <row r="5" spans="1:12" x14ac:dyDescent="0.35">
      <c r="A5" t="s">
        <v>203</v>
      </c>
      <c r="B5" s="22">
        <v>0.9</v>
      </c>
      <c r="C5" s="22">
        <v>0.9</v>
      </c>
      <c r="D5" s="22">
        <v>1.1000000000000001</v>
      </c>
      <c r="E5" s="23">
        <v>0.02</v>
      </c>
    </row>
    <row r="6" spans="1:12" x14ac:dyDescent="0.35">
      <c r="A6" t="s">
        <v>54</v>
      </c>
      <c r="B6" s="22">
        <v>1</v>
      </c>
      <c r="C6" s="22">
        <v>1</v>
      </c>
      <c r="D6" s="22">
        <v>1</v>
      </c>
      <c r="E6" s="23">
        <v>0</v>
      </c>
    </row>
    <row r="7" spans="1:12" x14ac:dyDescent="0.35">
      <c r="A7" t="s">
        <v>204</v>
      </c>
      <c r="B7" s="22">
        <v>1.05</v>
      </c>
      <c r="C7" s="22">
        <v>1.1000000000000001</v>
      </c>
      <c r="D7" s="22">
        <v>0.95</v>
      </c>
      <c r="E7" s="23">
        <v>-0.01</v>
      </c>
    </row>
    <row r="10" spans="1:12" x14ac:dyDescent="0.35">
      <c r="A10" s="1" t="s">
        <v>205</v>
      </c>
      <c r="B10" s="1"/>
      <c r="C10" s="1"/>
      <c r="D10" s="1"/>
      <c r="E10" s="1"/>
      <c r="F10" s="1"/>
    </row>
    <row r="11" spans="1:12" x14ac:dyDescent="0.35">
      <c r="A11" s="7" t="s">
        <v>17</v>
      </c>
      <c r="B11" s="7" t="s">
        <v>206</v>
      </c>
      <c r="C11" s="7" t="s">
        <v>207</v>
      </c>
      <c r="D11" s="7" t="s">
        <v>208</v>
      </c>
      <c r="E11" s="7" t="s">
        <v>209</v>
      </c>
      <c r="F11" s="7" t="s">
        <v>210</v>
      </c>
    </row>
    <row r="12" spans="1:12" x14ac:dyDescent="0.35">
      <c r="A12" t="s">
        <v>211</v>
      </c>
      <c r="B12" t="s">
        <v>212</v>
      </c>
      <c r="C12" t="s">
        <v>212</v>
      </c>
      <c r="D12" t="s">
        <v>212</v>
      </c>
      <c r="E12" t="s">
        <v>212</v>
      </c>
      <c r="F12" t="s">
        <v>212</v>
      </c>
    </row>
    <row r="13" spans="1:12" x14ac:dyDescent="0.35">
      <c r="A13" t="s">
        <v>213</v>
      </c>
      <c r="B13" t="s">
        <v>212</v>
      </c>
      <c r="C13" t="s">
        <v>212</v>
      </c>
      <c r="D13" t="s">
        <v>212</v>
      </c>
      <c r="E13" t="s">
        <v>212</v>
      </c>
      <c r="F13" t="s">
        <v>212</v>
      </c>
    </row>
    <row r="14" spans="1:12" x14ac:dyDescent="0.35">
      <c r="A14" t="s">
        <v>214</v>
      </c>
      <c r="B14" t="s">
        <v>212</v>
      </c>
      <c r="C14" t="s">
        <v>212</v>
      </c>
      <c r="D14" s="14" t="str">
        <f>Returns!B19</f>
        <v/>
      </c>
      <c r="E14" t="s">
        <v>212</v>
      </c>
      <c r="F14" t="s">
        <v>212</v>
      </c>
    </row>
    <row r="15" spans="1:12" x14ac:dyDescent="0.35">
      <c r="A15" t="s">
        <v>215</v>
      </c>
      <c r="B15" t="s">
        <v>212</v>
      </c>
      <c r="C15" t="s">
        <v>212</v>
      </c>
      <c r="D15" t="s">
        <v>212</v>
      </c>
      <c r="E15" t="s">
        <v>212</v>
      </c>
      <c r="F15" t="s">
        <v>212</v>
      </c>
    </row>
    <row r="16" spans="1:12" x14ac:dyDescent="0.35">
      <c r="A16" t="s">
        <v>216</v>
      </c>
      <c r="B16" t="s">
        <v>212</v>
      </c>
      <c r="C16" t="s">
        <v>212</v>
      </c>
      <c r="D16" t="s">
        <v>212</v>
      </c>
      <c r="E16" t="s">
        <v>212</v>
      </c>
      <c r="F16" t="s">
        <v>212</v>
      </c>
    </row>
    <row r="18" spans="1:6" x14ac:dyDescent="0.35">
      <c r="A18" s="3" t="s">
        <v>217</v>
      </c>
      <c r="B18" s="3"/>
      <c r="C18" s="3"/>
      <c r="D18" s="3"/>
      <c r="E18" s="3"/>
      <c r="F18" s="3"/>
    </row>
  </sheetData>
  <mergeCells count="4">
    <mergeCell ref="A1:L1"/>
    <mergeCell ref="A2:L2"/>
    <mergeCell ref="A10:F10"/>
    <mergeCell ref="A18:F18"/>
  </mergeCells>
  <pageMargins left="0.7" right="0.7" top="0.75" bottom="0.75" header="0.3" footer="0.3"/>
  <pageSetup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38D43-A0A3-4367-870A-9538720D85F1}">
  <dimension ref="A1:L12"/>
  <sheetViews>
    <sheetView showGridLines="0" view="pageBreakPreview" zoomScale="60" zoomScaleNormal="100" workbookViewId="0">
      <selection sqref="A1:L1"/>
    </sheetView>
  </sheetViews>
  <sheetFormatPr defaultRowHeight="14.5" x14ac:dyDescent="0.35"/>
  <cols>
    <col min="1" max="1" width="39.08984375" customWidth="1"/>
    <col min="2" max="2" width="16.36328125" customWidth="1"/>
    <col min="3" max="3" width="21.81640625" customWidth="1"/>
    <col min="4" max="4" width="56.36328125" customWidth="1"/>
  </cols>
  <sheetData>
    <row r="1" spans="1:12" ht="21" x14ac:dyDescent="0.5">
      <c r="A1" s="2" t="s">
        <v>218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2" x14ac:dyDescent="0.35">
      <c r="A4" s="7" t="s">
        <v>126</v>
      </c>
      <c r="B4" s="7" t="s">
        <v>220</v>
      </c>
      <c r="C4" s="7" t="s">
        <v>221</v>
      </c>
      <c r="D4" s="7" t="s">
        <v>222</v>
      </c>
    </row>
    <row r="5" spans="1:12" x14ac:dyDescent="0.35">
      <c r="A5" t="s">
        <v>223</v>
      </c>
      <c r="B5" t="str">
        <f>IF(COUNTIF(Assumptions!B12:B50,0)&gt;15,"WARN","PASS")</f>
        <v>WARN</v>
      </c>
      <c r="C5" s="15">
        <f>COUNTIF(Assumptions!B12:B50,0)</f>
        <v>32</v>
      </c>
      <c r="D5" t="s">
        <v>231</v>
      </c>
    </row>
    <row r="6" spans="1:12" x14ac:dyDescent="0.35">
      <c r="A6" t="s">
        <v>224</v>
      </c>
      <c r="B6" t="str">
        <f>IF(ABS(Development!G9)&lt;1,"PASS","FAIL")</f>
        <v>PASS</v>
      </c>
      <c r="C6" s="20">
        <f>Development!G9</f>
        <v>0</v>
      </c>
      <c r="D6" t="s">
        <v>232</v>
      </c>
    </row>
    <row r="7" spans="1:12" x14ac:dyDescent="0.35">
      <c r="A7" t="s">
        <v>225</v>
      </c>
      <c r="B7" t="str">
        <f>IF(OR(Assumptions!B42&gt;10,ABS(Financing!K16)&lt;1),"PASS","WARN")</f>
        <v>PASS</v>
      </c>
      <c r="C7" s="20">
        <f>Financing!K16</f>
        <v>0</v>
      </c>
      <c r="D7" t="s">
        <v>233</v>
      </c>
    </row>
    <row r="8" spans="1:12" x14ac:dyDescent="0.35">
      <c r="A8" t="s">
        <v>226</v>
      </c>
      <c r="B8" t="str">
        <f>IF(MAX(Operations!B6:K6)&lt;=100%,"PASS","FAIL")</f>
        <v>PASS</v>
      </c>
      <c r="C8" s="14">
        <f>MAX(Operations!B6:K6)</f>
        <v>0</v>
      </c>
      <c r="D8" t="s">
        <v>234</v>
      </c>
    </row>
    <row r="9" spans="1:12" x14ac:dyDescent="0.35">
      <c r="A9" t="s">
        <v>227</v>
      </c>
      <c r="B9" t="str">
        <f>IF(Assumptions!B47&gt;0,"PASS","WARN")</f>
        <v>WARN</v>
      </c>
      <c r="C9" s="14">
        <f>Assumptions!B47</f>
        <v>0</v>
      </c>
      <c r="D9" t="s">
        <v>235</v>
      </c>
    </row>
    <row r="10" spans="1:12" x14ac:dyDescent="0.35">
      <c r="A10" t="s">
        <v>228</v>
      </c>
      <c r="B10" t="str">
        <f>IF(Assumptions!B46&gt;0,"PASS","WARN")</f>
        <v>WARN</v>
      </c>
      <c r="C10" s="14">
        <f>Assumptions!B46</f>
        <v>0</v>
      </c>
      <c r="D10" t="s">
        <v>236</v>
      </c>
    </row>
    <row r="11" spans="1:12" x14ac:dyDescent="0.35">
      <c r="A11" t="s">
        <v>229</v>
      </c>
      <c r="B11" t="str">
        <f>IF(ISNUMBER(Returns!B19),"PASS","WARN")</f>
        <v>WARN</v>
      </c>
      <c r="C11" s="14" t="str">
        <f>Returns!B19</f>
        <v/>
      </c>
      <c r="D11" t="s">
        <v>237</v>
      </c>
    </row>
    <row r="12" spans="1:12" x14ac:dyDescent="0.35">
      <c r="A12" t="s">
        <v>230</v>
      </c>
      <c r="B12" t="str">
        <f>IF(ISNUMBER(Returns!B21),"PASS","WARN")</f>
        <v>WARN</v>
      </c>
      <c r="C12" s="24" t="str">
        <f>Returns!B21</f>
        <v>Inputs required</v>
      </c>
      <c r="D12" t="s">
        <v>238</v>
      </c>
    </row>
  </sheetData>
  <mergeCells count="2">
    <mergeCell ref="A1:L1"/>
    <mergeCell ref="A2:L2"/>
  </mergeCells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Assumptions</vt:lpstr>
      <vt:lpstr>Development</vt:lpstr>
      <vt:lpstr>Operations</vt:lpstr>
      <vt:lpstr>Financials</vt:lpstr>
      <vt:lpstr>Financing</vt:lpstr>
      <vt:lpstr>Returns</vt:lpstr>
      <vt:lpstr>Sensitivity</vt:lpstr>
      <vt:lpstr>Checks</vt:lpstr>
      <vt:lpstr>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Abenet Yohannes</dc:creator>
  <cp:lastModifiedBy>Abenet Yohannes</cp:lastModifiedBy>
  <dcterms:created xsi:type="dcterms:W3CDTF">2026-08-19T16:33:25Z</dcterms:created>
  <dcterms:modified xsi:type="dcterms:W3CDTF">2026-08-19T17:08:25Z</dcterms:modified>
</cp:coreProperties>
</file>