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82b1bef2b2dc34/Abenet/Desktop/My Trainings/9.Finance Education Series/"/>
    </mc:Choice>
  </mc:AlternateContent>
  <xr:revisionPtr revIDLastSave="0" documentId="8_{7E9C604F-AE22-40BC-A7F1-94278949CE05}" xr6:coauthVersionLast="47" xr6:coauthVersionMax="47" xr10:uidLastSave="{00000000-0000-0000-0000-000000000000}"/>
  <bookViews>
    <workbookView xWindow="-110" yWindow="-110" windowWidth="19420" windowHeight="10300" activeTab="3" xr2:uid="{E463F04A-077C-4C50-B31E-38D4E901AA19}"/>
  </bookViews>
  <sheets>
    <sheet name="Summary" sheetId="1" r:id="rId1"/>
    <sheet name="Assumptions" sheetId="2" r:id="rId2"/>
    <sheet name="Cash_Flow" sheetId="3" r:id="rId3"/>
    <sheet name="Check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6" i="1" l="1"/>
  <c r="O16" i="1"/>
  <c r="N16" i="1"/>
  <c r="M16" i="1"/>
  <c r="L16" i="1"/>
  <c r="K16" i="1"/>
  <c r="J16" i="1"/>
  <c r="I16" i="1"/>
  <c r="H16" i="1"/>
  <c r="G16" i="1"/>
  <c r="F16" i="1"/>
  <c r="E16" i="1"/>
  <c r="P15" i="1"/>
  <c r="O15" i="1"/>
  <c r="N15" i="1"/>
  <c r="M15" i="1"/>
  <c r="L15" i="1"/>
  <c r="K15" i="1"/>
  <c r="J15" i="1"/>
  <c r="I15" i="1"/>
  <c r="H15" i="1"/>
  <c r="G15" i="1"/>
  <c r="F15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B5" i="2"/>
  <c r="C9" i="4"/>
  <c r="B9" i="4"/>
  <c r="B3" i="4" s="1"/>
  <c r="B12" i="1" s="1"/>
  <c r="C8" i="4"/>
  <c r="B8" i="4"/>
  <c r="C7" i="4"/>
  <c r="B7" i="4"/>
  <c r="C6" i="4"/>
  <c r="B6" i="4"/>
  <c r="B5" i="1"/>
  <c r="B6" i="1"/>
  <c r="B7" i="1"/>
  <c r="B8" i="1"/>
  <c r="B9" i="1"/>
  <c r="B10" i="1"/>
  <c r="B11" i="1"/>
  <c r="B29" i="3" a="1"/>
  <c r="B29" i="3"/>
  <c r="B28" i="3" a="1"/>
  <c r="B28" i="3" s="1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B5" i="3"/>
  <c r="C5" i="3"/>
  <c r="C7" i="3" s="1"/>
  <c r="B6" i="3"/>
  <c r="C6" i="3"/>
  <c r="D6" i="3"/>
  <c r="E6" i="3"/>
  <c r="F6" i="3"/>
  <c r="G6" i="3"/>
  <c r="H6" i="3"/>
  <c r="I6" i="3"/>
  <c r="J6" i="3"/>
  <c r="K6" i="3"/>
  <c r="L6" i="3"/>
  <c r="M6" i="3"/>
  <c r="B7" i="3"/>
  <c r="B8" i="3"/>
  <c r="B9" i="3"/>
  <c r="B10" i="3"/>
  <c r="B11" i="3"/>
  <c r="C11" i="3"/>
  <c r="D11" i="3"/>
  <c r="E11" i="3"/>
  <c r="F11" i="3"/>
  <c r="F16" i="3" s="1"/>
  <c r="G11" i="3"/>
  <c r="H11" i="3"/>
  <c r="I11" i="3"/>
  <c r="J11" i="3"/>
  <c r="K11" i="3"/>
  <c r="L11" i="3"/>
  <c r="M11" i="3"/>
  <c r="M16" i="3" s="1"/>
  <c r="B12" i="3"/>
  <c r="C12" i="3"/>
  <c r="D12" i="3"/>
  <c r="E12" i="3"/>
  <c r="F12" i="3"/>
  <c r="G12" i="3"/>
  <c r="H12" i="3"/>
  <c r="I12" i="3"/>
  <c r="J12" i="3"/>
  <c r="K12" i="3"/>
  <c r="L12" i="3"/>
  <c r="M12" i="3"/>
  <c r="B13" i="3"/>
  <c r="C13" i="3"/>
  <c r="D13" i="3"/>
  <c r="E13" i="3"/>
  <c r="F13" i="3"/>
  <c r="G13" i="3"/>
  <c r="H13" i="3"/>
  <c r="I13" i="3"/>
  <c r="J13" i="3"/>
  <c r="K13" i="3"/>
  <c r="L13" i="3"/>
  <c r="M13" i="3"/>
  <c r="B14" i="3"/>
  <c r="C14" i="3"/>
  <c r="D14" i="3"/>
  <c r="E14" i="3"/>
  <c r="E16" i="3" s="1"/>
  <c r="F14" i="3"/>
  <c r="G14" i="3"/>
  <c r="H14" i="3"/>
  <c r="I14" i="3"/>
  <c r="J14" i="3"/>
  <c r="K14" i="3"/>
  <c r="L14" i="3"/>
  <c r="M14" i="3"/>
  <c r="B15" i="3"/>
  <c r="C15" i="3"/>
  <c r="D15" i="3"/>
  <c r="E15" i="3"/>
  <c r="F15" i="3"/>
  <c r="G15" i="3"/>
  <c r="H15" i="3"/>
  <c r="I15" i="3"/>
  <c r="J15" i="3"/>
  <c r="K15" i="3"/>
  <c r="L15" i="3"/>
  <c r="M15" i="3"/>
  <c r="B16" i="3"/>
  <c r="C16" i="3"/>
  <c r="D16" i="3"/>
  <c r="G16" i="3"/>
  <c r="H16" i="3"/>
  <c r="I16" i="3"/>
  <c r="J16" i="3"/>
  <c r="K16" i="3"/>
  <c r="L16" i="3"/>
  <c r="B17" i="3"/>
  <c r="B18" i="3"/>
  <c r="B19" i="3"/>
  <c r="B20" i="3"/>
  <c r="C20" i="3"/>
  <c r="D20" i="3"/>
  <c r="E20" i="3"/>
  <c r="F20" i="3"/>
  <c r="G20" i="3"/>
  <c r="H20" i="3"/>
  <c r="I20" i="3"/>
  <c r="J20" i="3"/>
  <c r="K20" i="3"/>
  <c r="L20" i="3"/>
  <c r="M20" i="3"/>
  <c r="B21" i="3"/>
  <c r="B22" i="3"/>
  <c r="C22" i="3"/>
  <c r="D22" i="3"/>
  <c r="E22" i="3"/>
  <c r="F22" i="3"/>
  <c r="G22" i="3"/>
  <c r="H22" i="3"/>
  <c r="I22" i="3"/>
  <c r="J22" i="3"/>
  <c r="K22" i="3"/>
  <c r="L22" i="3"/>
  <c r="M22" i="3"/>
  <c r="B23" i="3"/>
  <c r="B24" i="3"/>
  <c r="B25" i="3"/>
  <c r="M4" i="3"/>
  <c r="L4" i="3"/>
  <c r="K4" i="3"/>
  <c r="J4" i="3"/>
  <c r="I4" i="3"/>
  <c r="H4" i="3"/>
  <c r="G4" i="3"/>
  <c r="F4" i="3"/>
  <c r="E4" i="3"/>
  <c r="D4" i="3"/>
  <c r="C4" i="3"/>
  <c r="B4" i="3"/>
  <c r="C8" i="3" l="1"/>
  <c r="D5" i="3"/>
  <c r="C9" i="3"/>
  <c r="C10" i="3" s="1"/>
  <c r="C17" i="3" s="1"/>
  <c r="C18" i="3" s="1"/>
  <c r="D7" i="3" l="1"/>
  <c r="D9" i="3"/>
  <c r="E5" i="3"/>
  <c r="C19" i="3"/>
  <c r="C21" i="3" s="1"/>
  <c r="C23" i="3" l="1"/>
  <c r="C24" i="3"/>
  <c r="E9" i="3"/>
  <c r="E7" i="3"/>
  <c r="F5" i="3"/>
  <c r="D8" i="3"/>
  <c r="D10" i="3"/>
  <c r="D17" i="3" s="1"/>
  <c r="D18" i="3" s="1"/>
  <c r="D19" i="3" l="1"/>
  <c r="D21" i="3" s="1"/>
  <c r="E8" i="3"/>
  <c r="E10" i="3"/>
  <c r="E17" i="3" s="1"/>
  <c r="E18" i="3" s="1"/>
  <c r="F7" i="3"/>
  <c r="F9" i="3"/>
  <c r="G5" i="3"/>
  <c r="D24" i="3"/>
  <c r="C25" i="3"/>
  <c r="D23" i="3"/>
  <c r="F10" i="3" l="1"/>
  <c r="F17" i="3" s="1"/>
  <c r="F18" i="3" s="1"/>
  <c r="F8" i="3"/>
  <c r="F19" i="3" s="1"/>
  <c r="F21" i="3" s="1"/>
  <c r="D25" i="3"/>
  <c r="G7" i="3"/>
  <c r="G9" i="3"/>
  <c r="H5" i="3"/>
  <c r="E19" i="3"/>
  <c r="E21" i="3" s="1"/>
  <c r="E23" i="3" s="1"/>
  <c r="E25" i="3" l="1"/>
  <c r="F23" i="3"/>
  <c r="H7" i="3"/>
  <c r="H9" i="3"/>
  <c r="I5" i="3"/>
  <c r="G8" i="3"/>
  <c r="G10" i="3"/>
  <c r="G17" i="3" s="1"/>
  <c r="G18" i="3" s="1"/>
  <c r="E24" i="3"/>
  <c r="F24" i="3" s="1"/>
  <c r="G19" i="3" l="1"/>
  <c r="G21" i="3" s="1"/>
  <c r="G24" i="3" s="1"/>
  <c r="I7" i="3"/>
  <c r="I9" i="3"/>
  <c r="J5" i="3"/>
  <c r="H8" i="3"/>
  <c r="H10" i="3"/>
  <c r="H17" i="3" s="1"/>
  <c r="H18" i="3" s="1"/>
  <c r="F25" i="3"/>
  <c r="G23" i="3"/>
  <c r="H24" i="3" l="1"/>
  <c r="G25" i="3"/>
  <c r="H19" i="3"/>
  <c r="H21" i="3" s="1"/>
  <c r="H23" i="3" s="1"/>
  <c r="J7" i="3"/>
  <c r="J9" i="3"/>
  <c r="K5" i="3"/>
  <c r="I8" i="3"/>
  <c r="I10" i="3"/>
  <c r="I17" i="3" s="1"/>
  <c r="I18" i="3" s="1"/>
  <c r="H25" i="3" l="1"/>
  <c r="I19" i="3"/>
  <c r="I21" i="3" s="1"/>
  <c r="I23" i="3" s="1"/>
  <c r="K7" i="3"/>
  <c r="K9" i="3"/>
  <c r="L5" i="3"/>
  <c r="J8" i="3"/>
  <c r="J10" i="3"/>
  <c r="J17" i="3" s="1"/>
  <c r="J18" i="3" s="1"/>
  <c r="I24" i="3"/>
  <c r="I25" i="3" l="1"/>
  <c r="J19" i="3"/>
  <c r="J21" i="3" s="1"/>
  <c r="J23" i="3" s="1"/>
  <c r="L7" i="3"/>
  <c r="L9" i="3"/>
  <c r="M5" i="3"/>
  <c r="K8" i="3"/>
  <c r="K10" i="3"/>
  <c r="K17" i="3" s="1"/>
  <c r="K18" i="3" s="1"/>
  <c r="J25" i="3" l="1"/>
  <c r="K19" i="3"/>
  <c r="K21" i="3" s="1"/>
  <c r="K23" i="3" s="1"/>
  <c r="M7" i="3"/>
  <c r="M9" i="3"/>
  <c r="L8" i="3"/>
  <c r="L10" i="3"/>
  <c r="L17" i="3" s="1"/>
  <c r="L18" i="3" s="1"/>
  <c r="J24" i="3"/>
  <c r="K24" i="3" s="1"/>
  <c r="K25" i="3" l="1"/>
  <c r="L19" i="3"/>
  <c r="L21" i="3" s="1"/>
  <c r="L23" i="3" s="1"/>
  <c r="M10" i="3"/>
  <c r="M17" i="3" s="1"/>
  <c r="M18" i="3" s="1"/>
  <c r="M8" i="3"/>
  <c r="M19" i="3" s="1"/>
  <c r="M21" i="3" s="1"/>
  <c r="M23" i="3" l="1"/>
  <c r="M25" i="3" s="1"/>
  <c r="L25" i="3"/>
  <c r="L24" i="3"/>
  <c r="M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</author>
  </authors>
  <commentList>
    <comment ref="B5" authorId="0" shapeId="0" xr:uid="{D5E9D729-383D-46E3-A429-DB96FB4E6A87}">
      <text>
        <r>
          <rPr>
            <b/>
            <sz val="9"/>
            <color indexed="81"/>
            <rFont val="Tahoma"/>
            <charset val="1"/>
          </rPr>
          <t>Assumption: Illustrative forecast start date | As-of: 2026-08-19 | Replace as needed.</t>
        </r>
      </text>
    </comment>
    <comment ref="B6" authorId="0" shapeId="0" xr:uid="{3D2FA672-D1A0-4A4C-9AE3-43D3DEF67A40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7" authorId="0" shapeId="0" xr:uid="{01EF17B8-ADA8-42E1-A8DD-41E35090400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8" authorId="0" shapeId="0" xr:uid="{A7812E2E-C7BE-463A-949F-FA8B896E7A36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9" authorId="0" shapeId="0" xr:uid="{C8AF247E-A87C-4973-BE8A-60932EA83B73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0" authorId="0" shapeId="0" xr:uid="{8C61E13A-C689-44D8-9E8E-00A706E1984E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1" authorId="0" shapeId="0" xr:uid="{19A7F1F8-1328-43EA-B69B-79EB2AD4B88C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2" authorId="0" shapeId="0" xr:uid="{86699999-C86B-4817-92C5-1FC696CAF77D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3" authorId="0" shapeId="0" xr:uid="{814CCDA5-8B55-4762-8D1D-2AA1D45FFA8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4" authorId="0" shapeId="0" xr:uid="{C715E03C-B77D-48AC-8440-74AD02C934AB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5" authorId="0" shapeId="0" xr:uid="{9EA0433C-B521-436F-A8A8-EC069FF68CE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6" authorId="0" shapeId="0" xr:uid="{C37625ED-A9A2-4B7F-B4B7-931BD730FD3C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7" authorId="0" shapeId="0" xr:uid="{573FE0F2-279F-4880-915C-454C4DF43575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  <comment ref="B18" authorId="0" shapeId="0" xr:uid="{29CD9C2D-D727-48DD-A974-A09C45E39888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Simplified illustrative cash tax | As-of: 2026-08-19 | Replace with tax advice.</t>
        </r>
      </text>
    </comment>
    <comment ref="B19" authorId="0" shapeId="0" xr:uid="{59A6DCFF-4EC5-449D-8A6E-03AE74CFB884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Illustrative Ethiopia business example | As-of: 2026-08-19 | Replace with actual data.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<sst xmlns="http://schemas.openxmlformats.org/spreadsheetml/2006/main" count="111" uniqueCount="97">
  <si>
    <t>Payback Ethiopia – Budget Assumptions</t>
  </si>
  <si>
    <t>Example model in Ethiopian Birr (ETB)</t>
  </si>
  <si>
    <t>Driver</t>
  </si>
  <si>
    <t>Value</t>
  </si>
  <si>
    <t>Unit</t>
  </si>
  <si>
    <t>Notes</t>
  </si>
  <si>
    <t>Model start date</t>
  </si>
  <si>
    <t>Date</t>
  </si>
  <si>
    <t>First forecast month</t>
  </si>
  <si>
    <t>Opening cash</t>
  </si>
  <si>
    <t>ETB</t>
  </si>
  <si>
    <t>Cash available before project investment</t>
  </si>
  <si>
    <t>Initial project investment</t>
  </si>
  <si>
    <t>Equipment, setup and launch costs</t>
  </si>
  <si>
    <t>Starting monthly units</t>
  </si>
  <si>
    <t>Units</t>
  </si>
  <si>
    <t>Month 1 sales volume</t>
  </si>
  <si>
    <t>Monthly volume growth</t>
  </si>
  <si>
    <t>%</t>
  </si>
  <si>
    <t>Compounded monthly</t>
  </si>
  <si>
    <t>Selling price per unit</t>
  </si>
  <si>
    <t>ETB/unit</t>
  </si>
  <si>
    <t>Average selling price</t>
  </si>
  <si>
    <t>Variable cost per unit</t>
  </si>
  <si>
    <t>Direct materials and delivery</t>
  </si>
  <si>
    <t>Monthly payroll</t>
  </si>
  <si>
    <t>ETB/month</t>
  </si>
  <si>
    <t>Salaries and benefits</t>
  </si>
  <si>
    <t>Monthly rent</t>
  </si>
  <si>
    <t>Office/shop/warehouse</t>
  </si>
  <si>
    <t>Monthly utilities</t>
  </si>
  <si>
    <t>Power, telecom and water</t>
  </si>
  <si>
    <t>Monthly marketing</t>
  </si>
  <si>
    <t>Customer acquisition</t>
  </si>
  <si>
    <t>Other monthly operating costs</t>
  </si>
  <si>
    <t>Admin, travel and contingency</t>
  </si>
  <si>
    <t>Current-month collections</t>
  </si>
  <si>
    <t>Balance collected the following month</t>
  </si>
  <si>
    <t>Income tax rate</t>
  </si>
  <si>
    <t>Simplified illustrative cash tax</t>
  </si>
  <si>
    <t>Monthly maintenance capex</t>
  </si>
  <si>
    <t>Ongoing replacement spending</t>
  </si>
  <si>
    <t>Payback Ethiopia – 12-Month Budget &amp; Cash-Flow Model</t>
  </si>
  <si>
    <t>Currency: ETB | Example Base Case | Sep-2026 to Aug-2027</t>
  </si>
  <si>
    <t>Line Item</t>
  </si>
  <si>
    <t>FY Total / Exit</t>
  </si>
  <si>
    <t>Units sold</t>
  </si>
  <si>
    <t>Revenue</t>
  </si>
  <si>
    <t>Cash collections</t>
  </si>
  <si>
    <t>Variable costs</t>
  </si>
  <si>
    <t>Gross profit</t>
  </si>
  <si>
    <t>Payroll</t>
  </si>
  <si>
    <t>Rent</t>
  </si>
  <si>
    <t>Utilities</t>
  </si>
  <si>
    <t>Marketing</t>
  </si>
  <si>
    <t>Other operating costs</t>
  </si>
  <si>
    <t>Total fixed operating costs</t>
  </si>
  <si>
    <t>EBITDA</t>
  </si>
  <si>
    <t>Income tax paid</t>
  </si>
  <si>
    <t>Operating cash flow</t>
  </si>
  <si>
    <t>Maintenance capex</t>
  </si>
  <si>
    <t>Net cash flow before initial investment</t>
  </si>
  <si>
    <t>Initial investment</t>
  </si>
  <si>
    <t>Cumulative project cash flow</t>
  </si>
  <si>
    <t>Ending business cash balance</t>
  </si>
  <si>
    <t>Payback reached?</t>
  </si>
  <si>
    <t>Payback output</t>
  </si>
  <si>
    <t>Result</t>
  </si>
  <si>
    <t>Payback month</t>
  </si>
  <si>
    <t>Payback date</t>
  </si>
  <si>
    <t>Payback Ethiopia – Budget &amp; Cash-Flow Summary</t>
  </si>
  <si>
    <t>Illustrative business case | Ethiopian Birr (ETB) | Prepared 19-Aug-2026</t>
  </si>
  <si>
    <t>Key Output</t>
  </si>
  <si>
    <t>Base Case</t>
  </si>
  <si>
    <t>Year 1 revenue</t>
  </si>
  <si>
    <t>Year 1 EBITDA</t>
  </si>
  <si>
    <t>Year 1 net cash flow</t>
  </si>
  <si>
    <t>Ending cash balance</t>
  </si>
  <si>
    <t>Model status</t>
  </si>
  <si>
    <t>Management Notes</t>
  </si>
  <si>
    <t>Editable example: replace blue assumptions with Payback Ethiopia's actual price, volume, costs, collections, tax and investment data. Payback uses cumulative project cash flow and excludes opening business cash.</t>
  </si>
  <si>
    <t>MODEL CHECKS</t>
  </si>
  <si>
    <t>MODEL STATUS</t>
  </si>
  <si>
    <t>Check</t>
  </si>
  <si>
    <t>Status</t>
  </si>
  <si>
    <t>Delta / Value</t>
  </si>
  <si>
    <t>Fix Guidance</t>
  </si>
  <si>
    <t>Cash roll-forward</t>
  </si>
  <si>
    <t>Revenue build</t>
  </si>
  <si>
    <t>Payback logic</t>
  </si>
  <si>
    <t>Required assumptions</t>
  </si>
  <si>
    <t>Review ending cash and net cash flow</t>
  </si>
  <si>
    <t>Review units, price and revenue formulas</t>
  </si>
  <si>
    <t>Review cumulative project cash flow</t>
  </si>
  <si>
    <t>Complete all blue assumption cells</t>
  </si>
  <si>
    <t>Metric</t>
  </si>
  <si>
    <t>Monthly net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</si>
</sst>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\(#,##0\);\-"/>
    <numFmt numFmtId="165" formatCode="0.0%"/>
    <numFmt numFmtId="166" formatCode="dd\-mmm\-yyyy"/>
  </numFmts>
  <fonts count="11" x14ac:knownFonts="1">
    <font>
      <sz val="11"/>
      <color theme="1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rgb="FFFFFFFF"/>
      <name val="Calibri"/>
    </font>
    <font>
      <b/>
      <sz val="11"/>
      <color rgb="FF000000"/>
      <name val="Calibri"/>
    </font>
    <font>
      <sz val="11"/>
      <color rgb="FF0070C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  <font>
      <b/>
      <sz val="11"/>
      <color rgb="FF008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D2330"/>
        <bgColor indexed="64"/>
      </patternFill>
    </fill>
    <fill>
      <patternFill patternType="solid">
        <fgColor rgb="FFE2E3E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1D2330"/>
      </bottom>
      <diagonal/>
    </border>
    <border>
      <left/>
      <right/>
      <top/>
      <bottom style="thin">
        <color rgb="FF80808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808080"/>
      </top>
      <bottom/>
      <diagonal/>
    </border>
    <border>
      <left style="medium">
        <color rgb="FF008000"/>
      </left>
      <right style="medium">
        <color rgb="FF008000"/>
      </right>
      <top style="medium">
        <color rgb="FF008000"/>
      </top>
      <bottom style="medium">
        <color rgb="FF008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NumberFormat="1" applyFon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center"/>
    </xf>
    <xf numFmtId="164" fontId="5" fillId="4" borderId="0" xfId="0" applyNumberFormat="1" applyFont="1" applyFill="1" applyAlignment="1">
      <alignment horizontal="right"/>
    </xf>
    <xf numFmtId="165" fontId="5" fillId="4" borderId="0" xfId="0" applyNumberFormat="1" applyFont="1" applyFill="1" applyAlignment="1">
      <alignment horizontal="right"/>
    </xf>
    <xf numFmtId="166" fontId="5" fillId="4" borderId="0" xfId="0" applyNumberFormat="1" applyFont="1" applyFill="1" applyAlignment="1">
      <alignment horizontal="right"/>
    </xf>
    <xf numFmtId="17" fontId="7" fillId="3" borderId="2" xfId="0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164" fontId="7" fillId="5" borderId="4" xfId="0" applyNumberFormat="1" applyFont="1" applyFill="1" applyBorder="1" applyAlignment="1">
      <alignment horizontal="right"/>
    </xf>
    <xf numFmtId="164" fontId="7" fillId="5" borderId="0" xfId="0" applyNumberFormat="1" applyFont="1" applyFill="1" applyBorder="1" applyAlignment="1">
      <alignment horizontal="right"/>
    </xf>
    <xf numFmtId="164" fontId="4" fillId="5" borderId="0" xfId="0" applyNumberFormat="1" applyFont="1" applyFill="1" applyAlignment="1">
      <alignment horizontal="right"/>
    </xf>
    <xf numFmtId="17" fontId="9" fillId="3" borderId="2" xfId="0" applyNumberFormat="1" applyFont="1" applyFill="1" applyBorder="1" applyAlignment="1">
      <alignment horizontal="center"/>
    </xf>
    <xf numFmtId="17" fontId="4" fillId="5" borderId="0" xfId="0" applyNumberFormat="1" applyFont="1" applyFill="1" applyAlignment="1">
      <alignment horizontal="right"/>
    </xf>
    <xf numFmtId="0" fontId="10" fillId="6" borderId="0" xfId="0" applyNumberFormat="1" applyFont="1" applyFill="1" applyAlignment="1">
      <alignment horizontal="center"/>
    </xf>
    <xf numFmtId="0" fontId="10" fillId="6" borderId="5" xfId="0" applyNumberFormat="1" applyFont="1" applyFill="1" applyBorder="1" applyAlignment="1">
      <alignment horizontal="center"/>
    </xf>
    <xf numFmtId="0" fontId="10" fillId="6" borderId="2" xfId="0" applyNumberFormat="1" applyFont="1" applyFill="1" applyBorder="1" applyAlignment="1">
      <alignment horizontal="center"/>
    </xf>
    <xf numFmtId="164" fontId="8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and Cumulative Cash Flow (ETB)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Summary!$D$15</c:f>
              <c:strCache>
                <c:ptCount val="1"/>
                <c:pt idx="0">
                  <c:v>Monthly net cash flow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Summary!$E$14:$P$14</c:f>
              <c:numCache>
                <c:formatCode>mmm\-yy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Summary!$E$15:$P$15</c:f>
              <c:numCache>
                <c:formatCode>#,##0;[Red]\(#,##0\);\-</c:formatCode>
                <c:ptCount val="12"/>
                <c:pt idx="0">
                  <c:v>88000</c:v>
                </c:pt>
                <c:pt idx="1">
                  <c:v>365480</c:v>
                </c:pt>
                <c:pt idx="2">
                  <c:v>378509.60000000009</c:v>
                </c:pt>
                <c:pt idx="3">
                  <c:v>391799.7919999999</c:v>
                </c:pt>
                <c:pt idx="4">
                  <c:v>405355.78784</c:v>
                </c:pt>
                <c:pt idx="5">
                  <c:v>419182.90359680017</c:v>
                </c:pt>
                <c:pt idx="6">
                  <c:v>433286.56166873581</c:v>
                </c:pt>
                <c:pt idx="7">
                  <c:v>447672.29290211067</c:v>
                </c:pt>
                <c:pt idx="8">
                  <c:v>462345.7387601526</c:v>
                </c:pt>
                <c:pt idx="9">
                  <c:v>477312.65353535634</c:v>
                </c:pt>
                <c:pt idx="10">
                  <c:v>492578.90660606336</c:v>
                </c:pt>
                <c:pt idx="11">
                  <c:v>508150.48473818449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B-49D6-BBA8-1CEF30788C55}"/>
            </c:ext>
          </c:extLst>
        </c:ser>
        <c:ser>
          <c:idx val="1"/>
          <c:order val="1"/>
          <c:tx>
            <c:strRef>
              <c:f>Summary!$D$16</c:f>
              <c:strCache>
                <c:ptCount val="1"/>
                <c:pt idx="0">
                  <c:v>Cumulative project cash flow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Summary!$E$14:$P$14</c:f>
              <c:numCache>
                <c:formatCode>mmm\-yy</c:formatCode>
                <c:ptCount val="12"/>
                <c:pt idx="0">
                  <c:v>46266</c:v>
                </c:pt>
                <c:pt idx="1">
                  <c:v>46296</c:v>
                </c:pt>
                <c:pt idx="2">
                  <c:v>46327</c:v>
                </c:pt>
                <c:pt idx="3">
                  <c:v>46357</c:v>
                </c:pt>
                <c:pt idx="4">
                  <c:v>46388</c:v>
                </c:pt>
                <c:pt idx="5">
                  <c:v>46419</c:v>
                </c:pt>
                <c:pt idx="6">
                  <c:v>46447</c:v>
                </c:pt>
                <c:pt idx="7">
                  <c:v>46478</c:v>
                </c:pt>
                <c:pt idx="8">
                  <c:v>46508</c:v>
                </c:pt>
                <c:pt idx="9">
                  <c:v>46539</c:v>
                </c:pt>
                <c:pt idx="10">
                  <c:v>46569</c:v>
                </c:pt>
                <c:pt idx="11">
                  <c:v>46600</c:v>
                </c:pt>
              </c:numCache>
            </c:numRef>
          </c:cat>
          <c:val>
            <c:numRef>
              <c:f>Summary!$E$16:$P$16</c:f>
              <c:numCache>
                <c:formatCode>#,##0;[Red]\(#,##0\);\-</c:formatCode>
                <c:ptCount val="12"/>
                <c:pt idx="0">
                  <c:v>-2912000</c:v>
                </c:pt>
                <c:pt idx="1">
                  <c:v>-2546520</c:v>
                </c:pt>
                <c:pt idx="2">
                  <c:v>-2168010.4</c:v>
                </c:pt>
                <c:pt idx="3">
                  <c:v>-1776210.608</c:v>
                </c:pt>
                <c:pt idx="4">
                  <c:v>-1370854.8201600001</c:v>
                </c:pt>
                <c:pt idx="5">
                  <c:v>-951671.91656319995</c:v>
                </c:pt>
                <c:pt idx="6">
                  <c:v>-518385.35489446414</c:v>
                </c:pt>
                <c:pt idx="7">
                  <c:v>-70713.061992353469</c:v>
                </c:pt>
                <c:pt idx="8">
                  <c:v>391632.67676779913</c:v>
                </c:pt>
                <c:pt idx="9">
                  <c:v>868945.33030315547</c:v>
                </c:pt>
                <c:pt idx="10">
                  <c:v>1361524.2369092188</c:v>
                </c:pt>
                <c:pt idx="11">
                  <c:v>1869674.7216474032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9D6-BBA8-1CEF30788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710832"/>
        <c:axId val="544602352"/>
      </c:lineChart>
      <c:dateAx>
        <c:axId val="138971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Forecast 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602352"/>
        <c:crosses val="autoZero"/>
        <c:auto val="1"/>
        <c:lblOffset val="100"/>
        <c:baseTimeUnit val="months"/>
      </c:dateAx>
      <c:valAx>
        <c:axId val="54460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ETB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\(#,##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710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2" name="CashFlowTrend">
          <a:extLst>
            <a:ext uri="{FF2B5EF4-FFF2-40B4-BE49-F238E27FC236}">
              <a16:creationId xmlns:a16="http://schemas.microsoft.com/office/drawing/2014/main" id="{479C1CD1-3318-284A-C7B7-F86B34D38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A70CD1C-A6CD-4CEB-B4BA-4B7D40596A5C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c6d8e8dd-945d-4794-a1d6-565a367b831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0819-58A8-4D03-9BF4-49139EADC451}">
  <dimension ref="A1:P16"/>
  <sheetViews>
    <sheetView showGridLines="0" workbookViewId="0"/>
  </sheetViews>
  <sheetFormatPr defaultRowHeight="14.5" x14ac:dyDescent="0.35"/>
  <cols>
    <col min="1" max="1" width="58.81640625" bestFit="1" customWidth="1"/>
    <col min="2" max="2" width="9.90625" bestFit="1" customWidth="1"/>
    <col min="4" max="4" width="175.90625" bestFit="1" customWidth="1"/>
    <col min="5" max="6" width="8.453125" bestFit="1" customWidth="1"/>
    <col min="7" max="7" width="10.453125" bestFit="1" customWidth="1"/>
    <col min="8" max="8" width="12.453125" bestFit="1" customWidth="1"/>
    <col min="9" max="9" width="11.81640625" bestFit="1" customWidth="1"/>
    <col min="10" max="12" width="12.453125" bestFit="1" customWidth="1"/>
    <col min="13" max="16" width="11.81640625" bestFit="1" customWidth="1"/>
  </cols>
  <sheetData>
    <row r="1" spans="1:16" ht="19" thickBot="1" x14ac:dyDescent="0.5">
      <c r="A1" s="1" t="s">
        <v>70</v>
      </c>
      <c r="B1" s="1"/>
      <c r="C1" s="1"/>
      <c r="D1" s="1"/>
      <c r="E1" s="1"/>
      <c r="F1" s="1"/>
      <c r="G1" s="1"/>
      <c r="H1" s="1"/>
    </row>
    <row r="2" spans="1:16" ht="15" thickTop="1" x14ac:dyDescent="0.35">
      <c r="A2" t="s">
        <v>71</v>
      </c>
    </row>
    <row r="4" spans="1:16" x14ac:dyDescent="0.35">
      <c r="A4" s="2" t="s">
        <v>72</v>
      </c>
      <c r="B4" s="2" t="s">
        <v>73</v>
      </c>
      <c r="D4" t="s">
        <v>79</v>
      </c>
    </row>
    <row r="5" spans="1:16" x14ac:dyDescent="0.35">
      <c r="A5" t="s">
        <v>62</v>
      </c>
      <c r="B5" s="11">
        <f>Assumptions!B7</f>
        <v>3000000</v>
      </c>
      <c r="D5" t="s">
        <v>80</v>
      </c>
    </row>
    <row r="6" spans="1:16" x14ac:dyDescent="0.35">
      <c r="A6" t="s">
        <v>74</v>
      </c>
      <c r="B6" s="11">
        <f>Cash_Flow!N7</f>
        <v>24141761.510629084</v>
      </c>
    </row>
    <row r="7" spans="1:16" x14ac:dyDescent="0.35">
      <c r="A7" t="s">
        <v>75</v>
      </c>
      <c r="B7" s="11">
        <f>Cash_Flow!N17</f>
        <v>7779122.5498770867</v>
      </c>
    </row>
    <row r="8" spans="1:16" x14ac:dyDescent="0.35">
      <c r="A8" t="s">
        <v>76</v>
      </c>
      <c r="B8" s="11">
        <f>Cash_Flow!N21+Cash_Flow!N22</f>
        <v>1869674.7216474032</v>
      </c>
    </row>
    <row r="9" spans="1:16" x14ac:dyDescent="0.35">
      <c r="A9" t="s">
        <v>68</v>
      </c>
      <c r="B9" s="11">
        <f>Cash_Flow!B28</f>
        <v>9</v>
      </c>
    </row>
    <row r="10" spans="1:16" x14ac:dyDescent="0.35">
      <c r="A10" t="s">
        <v>69</v>
      </c>
      <c r="B10" s="13">
        <f>Cash_Flow!B29</f>
        <v>46508</v>
      </c>
    </row>
    <row r="11" spans="1:16" ht="15" thickBot="1" x14ac:dyDescent="0.4">
      <c r="A11" t="s">
        <v>77</v>
      </c>
      <c r="B11" s="11">
        <f>Cash_Flow!N24</f>
        <v>2619674.7216474037</v>
      </c>
    </row>
    <row r="12" spans="1:16" ht="15" thickBot="1" x14ac:dyDescent="0.4">
      <c r="A12" t="s">
        <v>78</v>
      </c>
      <c r="B12" s="15" t="str">
        <f>Checks!B3</f>
        <v>PASS</v>
      </c>
    </row>
    <row r="14" spans="1:16" x14ac:dyDescent="0.35">
      <c r="D14" s="12" t="s">
        <v>95</v>
      </c>
      <c r="E14" s="12">
        <f>Cash_Flow!B4</f>
        <v>46266</v>
      </c>
      <c r="F14" s="12">
        <f>Cash_Flow!C4</f>
        <v>46296</v>
      </c>
      <c r="G14" s="12">
        <f>Cash_Flow!D4</f>
        <v>46327</v>
      </c>
      <c r="H14" s="12">
        <f>Cash_Flow!E4</f>
        <v>46357</v>
      </c>
      <c r="I14" s="12">
        <f>Cash_Flow!F4</f>
        <v>46388</v>
      </c>
      <c r="J14" s="12">
        <f>Cash_Flow!G4</f>
        <v>46419</v>
      </c>
      <c r="K14" s="12">
        <f>Cash_Flow!H4</f>
        <v>46447</v>
      </c>
      <c r="L14" s="12">
        <f>Cash_Flow!I4</f>
        <v>46478</v>
      </c>
      <c r="M14" s="12">
        <f>Cash_Flow!J4</f>
        <v>46508</v>
      </c>
      <c r="N14" s="12">
        <f>Cash_Flow!K4</f>
        <v>46539</v>
      </c>
      <c r="O14" s="12">
        <f>Cash_Flow!L4</f>
        <v>46569</v>
      </c>
      <c r="P14" s="12">
        <f>Cash_Flow!M4</f>
        <v>46600</v>
      </c>
    </row>
    <row r="15" spans="1:16" x14ac:dyDescent="0.35">
      <c r="D15" t="s">
        <v>96</v>
      </c>
      <c r="E15" s="17">
        <f>Cash_Flow!B21</f>
        <v>88000</v>
      </c>
      <c r="F15" s="17">
        <f>Cash_Flow!C21</f>
        <v>365480</v>
      </c>
      <c r="G15" s="17">
        <f>Cash_Flow!D21</f>
        <v>378509.60000000009</v>
      </c>
      <c r="H15" s="17">
        <f>Cash_Flow!E21</f>
        <v>391799.7919999999</v>
      </c>
      <c r="I15" s="17">
        <f>Cash_Flow!F21</f>
        <v>405355.78784</v>
      </c>
      <c r="J15" s="17">
        <f>Cash_Flow!G21</f>
        <v>419182.90359680017</v>
      </c>
      <c r="K15" s="17">
        <f>Cash_Flow!H21</f>
        <v>433286.56166873581</v>
      </c>
      <c r="L15" s="17">
        <f>Cash_Flow!I21</f>
        <v>447672.29290211067</v>
      </c>
      <c r="M15" s="17">
        <f>Cash_Flow!J21</f>
        <v>462345.7387601526</v>
      </c>
      <c r="N15" s="17">
        <f>Cash_Flow!K21</f>
        <v>477312.65353535634</v>
      </c>
      <c r="O15" s="17">
        <f>Cash_Flow!L21</f>
        <v>492578.90660606336</v>
      </c>
      <c r="P15" s="17">
        <f>Cash_Flow!M21</f>
        <v>508150.48473818449</v>
      </c>
    </row>
    <row r="16" spans="1:16" x14ac:dyDescent="0.35">
      <c r="D16" t="s">
        <v>63</v>
      </c>
      <c r="E16" s="17">
        <f>Cash_Flow!B23</f>
        <v>-2912000</v>
      </c>
      <c r="F16" s="17">
        <f>Cash_Flow!C23</f>
        <v>-2546520</v>
      </c>
      <c r="G16" s="17">
        <f>Cash_Flow!D23</f>
        <v>-2168010.4</v>
      </c>
      <c r="H16" s="17">
        <f>Cash_Flow!E23</f>
        <v>-1776210.608</v>
      </c>
      <c r="I16" s="17">
        <f>Cash_Flow!F23</f>
        <v>-1370854.8201600001</v>
      </c>
      <c r="J16" s="17">
        <f>Cash_Flow!G23</f>
        <v>-951671.91656319995</v>
      </c>
      <c r="K16" s="17">
        <f>Cash_Flow!H23</f>
        <v>-518385.35489446414</v>
      </c>
      <c r="L16" s="17">
        <f>Cash_Flow!I23</f>
        <v>-70713.061992353469</v>
      </c>
      <c r="M16" s="17">
        <f>Cash_Flow!J23</f>
        <v>391632.67676779913</v>
      </c>
      <c r="N16" s="17">
        <f>Cash_Flow!K23</f>
        <v>868945.33030315547</v>
      </c>
      <c r="O16" s="17">
        <f>Cash_Flow!L23</f>
        <v>1361524.2369092188</v>
      </c>
      <c r="P16" s="17">
        <f>Cash_Flow!M23</f>
        <v>1869674.7216474032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132B-A3E7-4B3C-8D16-F5F92203CF76}">
  <sheetPr>
    <tabColor rgb="FF4472C4"/>
  </sheetPr>
  <dimension ref="A1:D19"/>
  <sheetViews>
    <sheetView showGridLines="0" workbookViewId="0"/>
  </sheetViews>
  <sheetFormatPr defaultRowHeight="14.5" x14ac:dyDescent="0.35"/>
  <cols>
    <col min="1" max="1" width="43.90625" bestFit="1" customWidth="1"/>
    <col min="2" max="2" width="11.08984375" bestFit="1" customWidth="1"/>
    <col min="3" max="3" width="9.6328125" bestFit="1" customWidth="1"/>
    <col min="4" max="4" width="34.08984375" bestFit="1" customWidth="1"/>
  </cols>
  <sheetData>
    <row r="1" spans="1:4" ht="19" thickBot="1" x14ac:dyDescent="0.5">
      <c r="A1" s="1" t="s">
        <v>0</v>
      </c>
      <c r="B1" s="1"/>
      <c r="C1" s="1"/>
      <c r="D1" s="1"/>
    </row>
    <row r="2" spans="1:4" ht="15" thickTop="1" x14ac:dyDescent="0.35">
      <c r="A2" t="s">
        <v>1</v>
      </c>
    </row>
    <row r="4" spans="1:4" x14ac:dyDescent="0.35">
      <c r="A4" s="2" t="s">
        <v>2</v>
      </c>
      <c r="B4" s="2" t="s">
        <v>3</v>
      </c>
      <c r="C4" s="2" t="s">
        <v>4</v>
      </c>
      <c r="D4" s="2" t="s">
        <v>5</v>
      </c>
    </row>
    <row r="5" spans="1:4" x14ac:dyDescent="0.35">
      <c r="A5" t="s">
        <v>6</v>
      </c>
      <c r="B5" s="5">
        <f>DATE(2026,9,1)</f>
        <v>46266</v>
      </c>
      <c r="C5" t="s">
        <v>7</v>
      </c>
      <c r="D5" t="s">
        <v>8</v>
      </c>
    </row>
    <row r="6" spans="1:4" x14ac:dyDescent="0.35">
      <c r="A6" t="s">
        <v>9</v>
      </c>
      <c r="B6" s="3">
        <v>750000</v>
      </c>
      <c r="C6" t="s">
        <v>10</v>
      </c>
      <c r="D6" t="s">
        <v>11</v>
      </c>
    </row>
    <row r="7" spans="1:4" x14ac:dyDescent="0.35">
      <c r="A7" t="s">
        <v>12</v>
      </c>
      <c r="B7" s="3">
        <v>3000000</v>
      </c>
      <c r="C7" t="s">
        <v>10</v>
      </c>
      <c r="D7" t="s">
        <v>13</v>
      </c>
    </row>
    <row r="8" spans="1:4" x14ac:dyDescent="0.35">
      <c r="A8" t="s">
        <v>14</v>
      </c>
      <c r="B8" s="3">
        <v>4000</v>
      </c>
      <c r="C8" t="s">
        <v>15</v>
      </c>
      <c r="D8" t="s">
        <v>16</v>
      </c>
    </row>
    <row r="9" spans="1:4" x14ac:dyDescent="0.35">
      <c r="A9" t="s">
        <v>17</v>
      </c>
      <c r="B9" s="4">
        <v>0.02</v>
      </c>
      <c r="C9" t="s">
        <v>18</v>
      </c>
      <c r="D9" t="s">
        <v>19</v>
      </c>
    </row>
    <row r="10" spans="1:4" x14ac:dyDescent="0.35">
      <c r="A10" t="s">
        <v>20</v>
      </c>
      <c r="B10" s="3">
        <v>450</v>
      </c>
      <c r="C10" t="s">
        <v>21</v>
      </c>
      <c r="D10" t="s">
        <v>22</v>
      </c>
    </row>
    <row r="11" spans="1:4" x14ac:dyDescent="0.35">
      <c r="A11" t="s">
        <v>23</v>
      </c>
      <c r="B11" s="3">
        <v>220</v>
      </c>
      <c r="C11" t="s">
        <v>21</v>
      </c>
      <c r="D11" t="s">
        <v>24</v>
      </c>
    </row>
    <row r="12" spans="1:4" x14ac:dyDescent="0.35">
      <c r="A12" t="s">
        <v>25</v>
      </c>
      <c r="B12" s="3">
        <v>180000</v>
      </c>
      <c r="C12" t="s">
        <v>26</v>
      </c>
      <c r="D12" t="s">
        <v>27</v>
      </c>
    </row>
    <row r="13" spans="1:4" x14ac:dyDescent="0.35">
      <c r="A13" t="s">
        <v>28</v>
      </c>
      <c r="B13" s="3">
        <v>70000</v>
      </c>
      <c r="C13" t="s">
        <v>26</v>
      </c>
      <c r="D13" t="s">
        <v>29</v>
      </c>
    </row>
    <row r="14" spans="1:4" x14ac:dyDescent="0.35">
      <c r="A14" t="s">
        <v>30</v>
      </c>
      <c r="B14" s="3">
        <v>35000</v>
      </c>
      <c r="C14" t="s">
        <v>26</v>
      </c>
      <c r="D14" t="s">
        <v>31</v>
      </c>
    </row>
    <row r="15" spans="1:4" x14ac:dyDescent="0.35">
      <c r="A15" t="s">
        <v>32</v>
      </c>
      <c r="B15" s="3">
        <v>45000</v>
      </c>
      <c r="C15" t="s">
        <v>26</v>
      </c>
      <c r="D15" t="s">
        <v>33</v>
      </c>
    </row>
    <row r="16" spans="1:4" x14ac:dyDescent="0.35">
      <c r="A16" t="s">
        <v>34</v>
      </c>
      <c r="B16" s="3">
        <v>50000</v>
      </c>
      <c r="C16" t="s">
        <v>26</v>
      </c>
      <c r="D16" t="s">
        <v>35</v>
      </c>
    </row>
    <row r="17" spans="1:4" x14ac:dyDescent="0.35">
      <c r="A17" t="s">
        <v>36</v>
      </c>
      <c r="B17" s="4">
        <v>0.85</v>
      </c>
      <c r="C17" t="s">
        <v>18</v>
      </c>
      <c r="D17" t="s">
        <v>37</v>
      </c>
    </row>
    <row r="18" spans="1:4" x14ac:dyDescent="0.35">
      <c r="A18" t="s">
        <v>38</v>
      </c>
      <c r="B18" s="4">
        <v>0.3</v>
      </c>
      <c r="C18" t="s">
        <v>18</v>
      </c>
      <c r="D18" t="s">
        <v>39</v>
      </c>
    </row>
    <row r="19" spans="1:4" x14ac:dyDescent="0.35">
      <c r="A19" t="s">
        <v>40</v>
      </c>
      <c r="B19" s="3">
        <v>20000</v>
      </c>
      <c r="C19" t="s">
        <v>26</v>
      </c>
      <c r="D19" t="s">
        <v>41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98D0-81BB-4D18-8E75-DA121721EA1B}">
  <sheetPr>
    <tabColor rgb="FF70AD47"/>
  </sheetPr>
  <dimension ref="A1:N29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62.453125" bestFit="1" customWidth="1"/>
    <col min="2" max="6" width="9.1796875" bestFit="1" customWidth="1"/>
    <col min="7" max="13" width="8.08984375" bestFit="1" customWidth="1"/>
    <col min="14" max="14" width="11.453125" bestFit="1" customWidth="1"/>
  </cols>
  <sheetData>
    <row r="1" spans="1:14" ht="19" thickBot="1" x14ac:dyDescent="0.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Top="1" x14ac:dyDescent="0.35">
      <c r="A2" t="s">
        <v>43</v>
      </c>
    </row>
    <row r="4" spans="1:14" x14ac:dyDescent="0.35">
      <c r="A4" s="6" t="s">
        <v>44</v>
      </c>
      <c r="B4" s="6">
        <f>DATE(2026,9,1)</f>
        <v>46266</v>
      </c>
      <c r="C4" s="6">
        <f>EDATE(B4,1)</f>
        <v>46296</v>
      </c>
      <c r="D4" s="6">
        <f>EDATE(C4,1)</f>
        <v>46327</v>
      </c>
      <c r="E4" s="6">
        <f>EDATE(D4,1)</f>
        <v>46357</v>
      </c>
      <c r="F4" s="6">
        <f>EDATE(E4,1)</f>
        <v>46388</v>
      </c>
      <c r="G4" s="6">
        <f>EDATE(F4,1)</f>
        <v>46419</v>
      </c>
      <c r="H4" s="6">
        <f>EDATE(G4,1)</f>
        <v>46447</v>
      </c>
      <c r="I4" s="6">
        <f>EDATE(H4,1)</f>
        <v>46478</v>
      </c>
      <c r="J4" s="6">
        <f>EDATE(I4,1)</f>
        <v>46508</v>
      </c>
      <c r="K4" s="6">
        <f>EDATE(J4,1)</f>
        <v>46539</v>
      </c>
      <c r="L4" s="6">
        <f>EDATE(K4,1)</f>
        <v>46569</v>
      </c>
      <c r="M4" s="6">
        <f>EDATE(L4,1)</f>
        <v>46600</v>
      </c>
      <c r="N4" s="6" t="s">
        <v>45</v>
      </c>
    </row>
    <row r="5" spans="1:14" x14ac:dyDescent="0.35">
      <c r="A5" t="s">
        <v>46</v>
      </c>
      <c r="B5" s="7">
        <f>Assumptions!$B$8</f>
        <v>4000</v>
      </c>
      <c r="C5" s="7">
        <f>B5*(1+Assumptions!$B$9)</f>
        <v>4080</v>
      </c>
      <c r="D5" s="7">
        <f>C5*(1+Assumptions!$B$9)</f>
        <v>4161.6000000000004</v>
      </c>
      <c r="E5" s="7">
        <f>D5*(1+Assumptions!$B$9)</f>
        <v>4244.8320000000003</v>
      </c>
      <c r="F5" s="7">
        <f>E5*(1+Assumptions!$B$9)</f>
        <v>4329.7286400000003</v>
      </c>
      <c r="G5" s="7">
        <f>F5*(1+Assumptions!$B$9)</f>
        <v>4416.3232128</v>
      </c>
      <c r="H5" s="7">
        <f>G5*(1+Assumptions!$B$9)</f>
        <v>4504.6496770559997</v>
      </c>
      <c r="I5" s="7">
        <f>H5*(1+Assumptions!$B$9)</f>
        <v>4594.7426705971202</v>
      </c>
      <c r="J5" s="7">
        <f>I5*(1+Assumptions!$B$9)</f>
        <v>4686.6375240090629</v>
      </c>
      <c r="K5" s="7">
        <f>J5*(1+Assumptions!$B$9)</f>
        <v>4780.3702744892444</v>
      </c>
      <c r="L5" s="7">
        <f>K5*(1+Assumptions!$B$9)</f>
        <v>4875.9776799790297</v>
      </c>
      <c r="M5" s="7">
        <f>L5*(1+Assumptions!$B$9)</f>
        <v>4973.4972335786106</v>
      </c>
      <c r="N5" s="7">
        <f>SUM(B5:M5)</f>
        <v>53648.358912509066</v>
      </c>
    </row>
    <row r="6" spans="1:14" x14ac:dyDescent="0.35">
      <c r="A6" t="s">
        <v>20</v>
      </c>
      <c r="B6" s="7">
        <f>Assumptions!$B$10</f>
        <v>450</v>
      </c>
      <c r="C6" s="7">
        <f>Assumptions!$B$10</f>
        <v>450</v>
      </c>
      <c r="D6" s="7">
        <f>Assumptions!$B$10</f>
        <v>450</v>
      </c>
      <c r="E6" s="7">
        <f>Assumptions!$B$10</f>
        <v>450</v>
      </c>
      <c r="F6" s="7">
        <f>Assumptions!$B$10</f>
        <v>450</v>
      </c>
      <c r="G6" s="7">
        <f>Assumptions!$B$10</f>
        <v>450</v>
      </c>
      <c r="H6" s="7">
        <f>Assumptions!$B$10</f>
        <v>450</v>
      </c>
      <c r="I6" s="7">
        <f>Assumptions!$B$10</f>
        <v>450</v>
      </c>
      <c r="J6" s="7">
        <f>Assumptions!$B$10</f>
        <v>450</v>
      </c>
      <c r="K6" s="7">
        <f>Assumptions!$B$10</f>
        <v>450</v>
      </c>
      <c r="L6" s="7">
        <f>Assumptions!$B$10</f>
        <v>450</v>
      </c>
      <c r="M6" s="7">
        <f>Assumptions!$B$10</f>
        <v>450</v>
      </c>
      <c r="N6" s="7">
        <f>AVERAGE(B6:M6)</f>
        <v>450</v>
      </c>
    </row>
    <row r="7" spans="1:14" x14ac:dyDescent="0.35">
      <c r="A7" t="s">
        <v>47</v>
      </c>
      <c r="B7" s="7">
        <f>B5*B6</f>
        <v>1800000</v>
      </c>
      <c r="C7" s="7">
        <f>C5*C6</f>
        <v>1836000</v>
      </c>
      <c r="D7" s="7">
        <f>D5*D6</f>
        <v>1872720.0000000002</v>
      </c>
      <c r="E7" s="7">
        <f>E5*E6</f>
        <v>1910174.4000000001</v>
      </c>
      <c r="F7" s="7">
        <f>F5*F6</f>
        <v>1948377.888</v>
      </c>
      <c r="G7" s="7">
        <f>G5*G6</f>
        <v>1987345.44576</v>
      </c>
      <c r="H7" s="7">
        <f>H5*H6</f>
        <v>2027092.3546751998</v>
      </c>
      <c r="I7" s="7">
        <f>I5*I6</f>
        <v>2067634.201768704</v>
      </c>
      <c r="J7" s="7">
        <f>J5*J6</f>
        <v>2108986.8858040781</v>
      </c>
      <c r="K7" s="7">
        <f>K5*K6</f>
        <v>2151166.6235201601</v>
      </c>
      <c r="L7" s="7">
        <f>L5*L6</f>
        <v>2194189.9559905636</v>
      </c>
      <c r="M7" s="7">
        <f>M5*M6</f>
        <v>2238073.7551103747</v>
      </c>
      <c r="N7" s="7">
        <f>SUM(B7:M7)</f>
        <v>24141761.510629084</v>
      </c>
    </row>
    <row r="8" spans="1:14" x14ac:dyDescent="0.35">
      <c r="A8" t="s">
        <v>48</v>
      </c>
      <c r="B8" s="7">
        <f>B7*Assumptions!$B$17</f>
        <v>1530000</v>
      </c>
      <c r="C8" s="7">
        <f>C7*Assumptions!$B$17+B7*(1-Assumptions!$B$17)</f>
        <v>1830600</v>
      </c>
      <c r="D8" s="7">
        <f>D7*Assumptions!$B$17+C7*(1-Assumptions!$B$17)</f>
        <v>1867212.0000000002</v>
      </c>
      <c r="E8" s="7">
        <f>E7*Assumptions!$B$17+D7*(1-Assumptions!$B$17)</f>
        <v>1904556.24</v>
      </c>
      <c r="F8" s="7">
        <f>F7*Assumptions!$B$17+E7*(1-Assumptions!$B$17)</f>
        <v>1942647.3648000001</v>
      </c>
      <c r="G8" s="7">
        <f>G7*Assumptions!$B$17+F7*(1-Assumptions!$B$17)</f>
        <v>1981500.3120960002</v>
      </c>
      <c r="H8" s="7">
        <f>H7*Assumptions!$B$17+G7*(1-Assumptions!$B$17)</f>
        <v>2021130.3183379197</v>
      </c>
      <c r="I8" s="7">
        <f>I7*Assumptions!$B$17+H7*(1-Assumptions!$B$17)</f>
        <v>2061552.9247046784</v>
      </c>
      <c r="J8" s="7">
        <f>J7*Assumptions!$B$17+I7*(1-Assumptions!$B$17)</f>
        <v>2102783.9831987717</v>
      </c>
      <c r="K8" s="7">
        <f>K7*Assumptions!$B$17+J7*(1-Assumptions!$B$17)</f>
        <v>2144839.6628627479</v>
      </c>
      <c r="L8" s="7">
        <f>L7*Assumptions!$B$17+K7*(1-Assumptions!$B$17)</f>
        <v>2187736.456120003</v>
      </c>
      <c r="M8" s="7">
        <f>M7*Assumptions!$B$17+L7*(1-Assumptions!$B$17)</f>
        <v>2231491.1852424028</v>
      </c>
      <c r="N8" s="7">
        <f>SUM(B8:M8)</f>
        <v>23806050.447362524</v>
      </c>
    </row>
    <row r="9" spans="1:14" x14ac:dyDescent="0.35">
      <c r="A9" t="s">
        <v>49</v>
      </c>
      <c r="B9" s="7">
        <f>B5*Assumptions!$B$11</f>
        <v>880000</v>
      </c>
      <c r="C9" s="7">
        <f>C5*Assumptions!$B$11</f>
        <v>897600</v>
      </c>
      <c r="D9" s="7">
        <f>D5*Assumptions!$B$11</f>
        <v>915552.00000000012</v>
      </c>
      <c r="E9" s="7">
        <f>E5*Assumptions!$B$11</f>
        <v>933863.04</v>
      </c>
      <c r="F9" s="7">
        <f>F5*Assumptions!$B$11</f>
        <v>952540.30080000008</v>
      </c>
      <c r="G9" s="7">
        <f>G5*Assumptions!$B$11</f>
        <v>971591.10681599996</v>
      </c>
      <c r="H9" s="7">
        <f>H5*Assumptions!$B$11</f>
        <v>991022.9289523199</v>
      </c>
      <c r="I9" s="7">
        <f>I5*Assumptions!$B$11</f>
        <v>1010843.3875313664</v>
      </c>
      <c r="J9" s="7">
        <f>J5*Assumptions!$B$11</f>
        <v>1031060.2552819939</v>
      </c>
      <c r="K9" s="7">
        <f>K5*Assumptions!$B$11</f>
        <v>1051681.4603876336</v>
      </c>
      <c r="L9" s="7">
        <f>L5*Assumptions!$B$11</f>
        <v>1072715.0895953865</v>
      </c>
      <c r="M9" s="7">
        <f>M5*Assumptions!$B$11</f>
        <v>1094169.3913872943</v>
      </c>
      <c r="N9" s="7">
        <f>SUM(B9:M9)</f>
        <v>11802638.960751995</v>
      </c>
    </row>
    <row r="10" spans="1:14" x14ac:dyDescent="0.35">
      <c r="A10" t="s">
        <v>50</v>
      </c>
      <c r="B10" s="7">
        <f>B7-B9</f>
        <v>920000</v>
      </c>
      <c r="C10" s="7">
        <f>C7-C9</f>
        <v>938400</v>
      </c>
      <c r="D10" s="7">
        <f>D7-D9</f>
        <v>957168.00000000012</v>
      </c>
      <c r="E10" s="7">
        <f>E7-E9</f>
        <v>976311.3600000001</v>
      </c>
      <c r="F10" s="7">
        <f>F7-F9</f>
        <v>995837.58719999995</v>
      </c>
      <c r="G10" s="7">
        <f>G7-G9</f>
        <v>1015754.3389440001</v>
      </c>
      <c r="H10" s="7">
        <f>H7-H9</f>
        <v>1036069.4257228799</v>
      </c>
      <c r="I10" s="7">
        <f>I7-I9</f>
        <v>1056790.8142373376</v>
      </c>
      <c r="J10" s="7">
        <f>J7-J9</f>
        <v>1077926.6305220842</v>
      </c>
      <c r="K10" s="7">
        <f>K7-K9</f>
        <v>1099485.1631325264</v>
      </c>
      <c r="L10" s="7">
        <f>L7-L9</f>
        <v>1121474.8663951771</v>
      </c>
      <c r="M10" s="7">
        <f>M7-M9</f>
        <v>1143904.3637230804</v>
      </c>
      <c r="N10" s="7">
        <f>SUM(B10:M10)</f>
        <v>12339122.549877087</v>
      </c>
    </row>
    <row r="11" spans="1:14" x14ac:dyDescent="0.35">
      <c r="A11" t="s">
        <v>51</v>
      </c>
      <c r="B11" s="7">
        <f>Assumptions!$B$12</f>
        <v>180000</v>
      </c>
      <c r="C11" s="7">
        <f>Assumptions!$B$12</f>
        <v>180000</v>
      </c>
      <c r="D11" s="7">
        <f>Assumptions!$B$12</f>
        <v>180000</v>
      </c>
      <c r="E11" s="7">
        <f>Assumptions!$B$12</f>
        <v>180000</v>
      </c>
      <c r="F11" s="7">
        <f>Assumptions!$B$12</f>
        <v>180000</v>
      </c>
      <c r="G11" s="7">
        <f>Assumptions!$B$12</f>
        <v>180000</v>
      </c>
      <c r="H11" s="7">
        <f>Assumptions!$B$12</f>
        <v>180000</v>
      </c>
      <c r="I11" s="7">
        <f>Assumptions!$B$12</f>
        <v>180000</v>
      </c>
      <c r="J11" s="7">
        <f>Assumptions!$B$12</f>
        <v>180000</v>
      </c>
      <c r="K11" s="7">
        <f>Assumptions!$B$12</f>
        <v>180000</v>
      </c>
      <c r="L11" s="7">
        <f>Assumptions!$B$12</f>
        <v>180000</v>
      </c>
      <c r="M11" s="7">
        <f>Assumptions!$B$12</f>
        <v>180000</v>
      </c>
      <c r="N11" s="7">
        <f>SUM(B11:M11)</f>
        <v>2160000</v>
      </c>
    </row>
    <row r="12" spans="1:14" x14ac:dyDescent="0.35">
      <c r="A12" t="s">
        <v>52</v>
      </c>
      <c r="B12" s="7">
        <f>Assumptions!$B$13</f>
        <v>70000</v>
      </c>
      <c r="C12" s="7">
        <f>Assumptions!$B$13</f>
        <v>70000</v>
      </c>
      <c r="D12" s="7">
        <f>Assumptions!$B$13</f>
        <v>70000</v>
      </c>
      <c r="E12" s="7">
        <f>Assumptions!$B$13</f>
        <v>70000</v>
      </c>
      <c r="F12" s="7">
        <f>Assumptions!$B$13</f>
        <v>70000</v>
      </c>
      <c r="G12" s="7">
        <f>Assumptions!$B$13</f>
        <v>70000</v>
      </c>
      <c r="H12" s="7">
        <f>Assumptions!$B$13</f>
        <v>70000</v>
      </c>
      <c r="I12" s="7">
        <f>Assumptions!$B$13</f>
        <v>70000</v>
      </c>
      <c r="J12" s="7">
        <f>Assumptions!$B$13</f>
        <v>70000</v>
      </c>
      <c r="K12" s="7">
        <f>Assumptions!$B$13</f>
        <v>70000</v>
      </c>
      <c r="L12" s="7">
        <f>Assumptions!$B$13</f>
        <v>70000</v>
      </c>
      <c r="M12" s="7">
        <f>Assumptions!$B$13</f>
        <v>70000</v>
      </c>
      <c r="N12" s="7">
        <f>SUM(B12:M12)</f>
        <v>840000</v>
      </c>
    </row>
    <row r="13" spans="1:14" x14ac:dyDescent="0.35">
      <c r="A13" t="s">
        <v>53</v>
      </c>
      <c r="B13" s="7">
        <f>Assumptions!$B$14</f>
        <v>35000</v>
      </c>
      <c r="C13" s="7">
        <f>Assumptions!$B$14</f>
        <v>35000</v>
      </c>
      <c r="D13" s="7">
        <f>Assumptions!$B$14</f>
        <v>35000</v>
      </c>
      <c r="E13" s="7">
        <f>Assumptions!$B$14</f>
        <v>35000</v>
      </c>
      <c r="F13" s="7">
        <f>Assumptions!$B$14</f>
        <v>35000</v>
      </c>
      <c r="G13" s="7">
        <f>Assumptions!$B$14</f>
        <v>35000</v>
      </c>
      <c r="H13" s="7">
        <f>Assumptions!$B$14</f>
        <v>35000</v>
      </c>
      <c r="I13" s="7">
        <f>Assumptions!$B$14</f>
        <v>35000</v>
      </c>
      <c r="J13" s="7">
        <f>Assumptions!$B$14</f>
        <v>35000</v>
      </c>
      <c r="K13" s="7">
        <f>Assumptions!$B$14</f>
        <v>35000</v>
      </c>
      <c r="L13" s="7">
        <f>Assumptions!$B$14</f>
        <v>35000</v>
      </c>
      <c r="M13" s="7">
        <f>Assumptions!$B$14</f>
        <v>35000</v>
      </c>
      <c r="N13" s="7">
        <f>SUM(B13:M13)</f>
        <v>420000</v>
      </c>
    </row>
    <row r="14" spans="1:14" x14ac:dyDescent="0.35">
      <c r="A14" t="s">
        <v>54</v>
      </c>
      <c r="B14" s="7">
        <f>Assumptions!$B$15</f>
        <v>45000</v>
      </c>
      <c r="C14" s="7">
        <f>Assumptions!$B$15</f>
        <v>45000</v>
      </c>
      <c r="D14" s="7">
        <f>Assumptions!$B$15</f>
        <v>45000</v>
      </c>
      <c r="E14" s="7">
        <f>Assumptions!$B$15</f>
        <v>45000</v>
      </c>
      <c r="F14" s="7">
        <f>Assumptions!$B$15</f>
        <v>45000</v>
      </c>
      <c r="G14" s="7">
        <f>Assumptions!$B$15</f>
        <v>45000</v>
      </c>
      <c r="H14" s="7">
        <f>Assumptions!$B$15</f>
        <v>45000</v>
      </c>
      <c r="I14" s="7">
        <f>Assumptions!$B$15</f>
        <v>45000</v>
      </c>
      <c r="J14" s="7">
        <f>Assumptions!$B$15</f>
        <v>45000</v>
      </c>
      <c r="K14" s="7">
        <f>Assumptions!$B$15</f>
        <v>45000</v>
      </c>
      <c r="L14" s="7">
        <f>Assumptions!$B$15</f>
        <v>45000</v>
      </c>
      <c r="M14" s="7">
        <f>Assumptions!$B$15</f>
        <v>45000</v>
      </c>
      <c r="N14" s="7">
        <f>SUM(B14:M14)</f>
        <v>540000</v>
      </c>
    </row>
    <row r="15" spans="1:14" x14ac:dyDescent="0.35">
      <c r="A15" t="s">
        <v>55</v>
      </c>
      <c r="B15" s="7">
        <f>Assumptions!$B$16</f>
        <v>50000</v>
      </c>
      <c r="C15" s="7">
        <f>Assumptions!$B$16</f>
        <v>50000</v>
      </c>
      <c r="D15" s="7">
        <f>Assumptions!$B$16</f>
        <v>50000</v>
      </c>
      <c r="E15" s="7">
        <f>Assumptions!$B$16</f>
        <v>50000</v>
      </c>
      <c r="F15" s="7">
        <f>Assumptions!$B$16</f>
        <v>50000</v>
      </c>
      <c r="G15" s="7">
        <f>Assumptions!$B$16</f>
        <v>50000</v>
      </c>
      <c r="H15" s="7">
        <f>Assumptions!$B$16</f>
        <v>50000</v>
      </c>
      <c r="I15" s="7">
        <f>Assumptions!$B$16</f>
        <v>50000</v>
      </c>
      <c r="J15" s="7">
        <f>Assumptions!$B$16</f>
        <v>50000</v>
      </c>
      <c r="K15" s="7">
        <f>Assumptions!$B$16</f>
        <v>50000</v>
      </c>
      <c r="L15" s="7">
        <f>Assumptions!$B$16</f>
        <v>50000</v>
      </c>
      <c r="M15" s="7">
        <f>Assumptions!$B$16</f>
        <v>50000</v>
      </c>
      <c r="N15" s="7">
        <f>SUM(B15:M15)</f>
        <v>600000</v>
      </c>
    </row>
    <row r="16" spans="1:14" ht="15" thickBot="1" x14ac:dyDescent="0.4">
      <c r="A16" t="s">
        <v>56</v>
      </c>
      <c r="B16" s="7">
        <f>SUM(B11:B15)</f>
        <v>380000</v>
      </c>
      <c r="C16" s="7">
        <f>SUM(C11:C15)</f>
        <v>380000</v>
      </c>
      <c r="D16" s="7">
        <f>SUM(D11:D15)</f>
        <v>380000</v>
      </c>
      <c r="E16" s="7">
        <f>SUM(E11:E15)</f>
        <v>380000</v>
      </c>
      <c r="F16" s="7">
        <f>SUM(F11:F15)</f>
        <v>380000</v>
      </c>
      <c r="G16" s="7">
        <f>SUM(G11:G15)</f>
        <v>380000</v>
      </c>
      <c r="H16" s="7">
        <f>SUM(H11:H15)</f>
        <v>380000</v>
      </c>
      <c r="I16" s="7">
        <f>SUM(I11:I15)</f>
        <v>380000</v>
      </c>
      <c r="J16" s="7">
        <f>SUM(J11:J15)</f>
        <v>380000</v>
      </c>
      <c r="K16" s="7">
        <f>SUM(K11:K15)</f>
        <v>380000</v>
      </c>
      <c r="L16" s="7">
        <f>SUM(L11:L15)</f>
        <v>380000</v>
      </c>
      <c r="M16" s="7">
        <f>SUM(M11:M15)</f>
        <v>380000</v>
      </c>
      <c r="N16" s="7">
        <f>SUM(B16:M16)</f>
        <v>4560000</v>
      </c>
    </row>
    <row r="17" spans="1:14" x14ac:dyDescent="0.35">
      <c r="A17" s="8" t="s">
        <v>57</v>
      </c>
      <c r="B17" s="8">
        <f>B10-B16</f>
        <v>540000</v>
      </c>
      <c r="C17" s="8">
        <f>C10-C16</f>
        <v>558400</v>
      </c>
      <c r="D17" s="8">
        <f>D10-D16</f>
        <v>577168.00000000012</v>
      </c>
      <c r="E17" s="8">
        <f>E10-E16</f>
        <v>596311.3600000001</v>
      </c>
      <c r="F17" s="8">
        <f>F10-F16</f>
        <v>615837.58719999995</v>
      </c>
      <c r="G17" s="8">
        <f>G10-G16</f>
        <v>635754.33894400008</v>
      </c>
      <c r="H17" s="8">
        <f>H10-H16</f>
        <v>656069.42572287994</v>
      </c>
      <c r="I17" s="8">
        <f>I10-I16</f>
        <v>676790.81423733756</v>
      </c>
      <c r="J17" s="8">
        <f>J10-J16</f>
        <v>697926.63052208419</v>
      </c>
      <c r="K17" s="8">
        <f>K10-K16</f>
        <v>719485.16313252645</v>
      </c>
      <c r="L17" s="8">
        <f>L10-L16</f>
        <v>741474.86639517709</v>
      </c>
      <c r="M17" s="8">
        <f>M10-M16</f>
        <v>763904.36372308037</v>
      </c>
      <c r="N17" s="8">
        <f>SUM(B17:M17)</f>
        <v>7779122.5498770867</v>
      </c>
    </row>
    <row r="18" spans="1:14" x14ac:dyDescent="0.35">
      <c r="A18" t="s">
        <v>58</v>
      </c>
      <c r="B18" s="7">
        <f>MAX(0,B17*Assumptions!$B$18)</f>
        <v>162000</v>
      </c>
      <c r="C18" s="7">
        <f>MAX(0,C17*Assumptions!$B$18)</f>
        <v>167520</v>
      </c>
      <c r="D18" s="7">
        <f>MAX(0,D17*Assumptions!$B$18)</f>
        <v>173150.40000000002</v>
      </c>
      <c r="E18" s="7">
        <f>MAX(0,E17*Assumptions!$B$18)</f>
        <v>178893.40800000002</v>
      </c>
      <c r="F18" s="7">
        <f>MAX(0,F17*Assumptions!$B$18)</f>
        <v>184751.27615999998</v>
      </c>
      <c r="G18" s="7">
        <f>MAX(0,G17*Assumptions!$B$18)</f>
        <v>190726.30168320003</v>
      </c>
      <c r="H18" s="7">
        <f>MAX(0,H17*Assumptions!$B$18)</f>
        <v>196820.82771686398</v>
      </c>
      <c r="I18" s="7">
        <f>MAX(0,I17*Assumptions!$B$18)</f>
        <v>203037.24427120126</v>
      </c>
      <c r="J18" s="7">
        <f>MAX(0,J17*Assumptions!$B$18)</f>
        <v>209377.98915662526</v>
      </c>
      <c r="K18" s="7">
        <f>MAX(0,K17*Assumptions!$B$18)</f>
        <v>215845.54893975792</v>
      </c>
      <c r="L18" s="7">
        <f>MAX(0,L17*Assumptions!$B$18)</f>
        <v>222442.45991855313</v>
      </c>
      <c r="M18" s="7">
        <f>MAX(0,M17*Assumptions!$B$18)</f>
        <v>229171.30911692409</v>
      </c>
      <c r="N18" s="7">
        <f>SUM(B18:M18)</f>
        <v>2333736.7649631258</v>
      </c>
    </row>
    <row r="19" spans="1:14" x14ac:dyDescent="0.35">
      <c r="A19" t="s">
        <v>59</v>
      </c>
      <c r="B19" s="7">
        <f>B8-B9-B16-B18</f>
        <v>108000</v>
      </c>
      <c r="C19" s="7">
        <f>C8-C9-C16-C18</f>
        <v>385480</v>
      </c>
      <c r="D19" s="7">
        <f>D8-D9-D16-D18</f>
        <v>398509.60000000009</v>
      </c>
      <c r="E19" s="7">
        <f>E8-E9-E16-E18</f>
        <v>411799.7919999999</v>
      </c>
      <c r="F19" s="7">
        <f>F8-F9-F16-F18</f>
        <v>425355.78784</v>
      </c>
      <c r="G19" s="7">
        <f>G8-G9-G16-G18</f>
        <v>439182.90359680017</v>
      </c>
      <c r="H19" s="7">
        <f>H8-H9-H16-H18</f>
        <v>453286.56166873581</v>
      </c>
      <c r="I19" s="7">
        <f>I8-I9-I16-I18</f>
        <v>467672.29290211067</v>
      </c>
      <c r="J19" s="7">
        <f>J8-J9-J16-J18</f>
        <v>482345.7387601526</v>
      </c>
      <c r="K19" s="7">
        <f>K8-K9-K16-K18</f>
        <v>497312.65353535634</v>
      </c>
      <c r="L19" s="7">
        <f>L8-L9-L16-L18</f>
        <v>512578.90660606336</v>
      </c>
      <c r="M19" s="7">
        <f>M8-M9-M16-M18</f>
        <v>528150.48473818449</v>
      </c>
      <c r="N19" s="7">
        <f>SUM(B19:M19)</f>
        <v>5109674.7216474032</v>
      </c>
    </row>
    <row r="20" spans="1:14" x14ac:dyDescent="0.35">
      <c r="A20" t="s">
        <v>60</v>
      </c>
      <c r="B20" s="7">
        <f>-Assumptions!$B$19</f>
        <v>-20000</v>
      </c>
      <c r="C20" s="7">
        <f>-Assumptions!$B$19</f>
        <v>-20000</v>
      </c>
      <c r="D20" s="7">
        <f>-Assumptions!$B$19</f>
        <v>-20000</v>
      </c>
      <c r="E20" s="7">
        <f>-Assumptions!$B$19</f>
        <v>-20000</v>
      </c>
      <c r="F20" s="7">
        <f>-Assumptions!$B$19</f>
        <v>-20000</v>
      </c>
      <c r="G20" s="7">
        <f>-Assumptions!$B$19</f>
        <v>-20000</v>
      </c>
      <c r="H20" s="7">
        <f>-Assumptions!$B$19</f>
        <v>-20000</v>
      </c>
      <c r="I20" s="7">
        <f>-Assumptions!$B$19</f>
        <v>-20000</v>
      </c>
      <c r="J20" s="7">
        <f>-Assumptions!$B$19</f>
        <v>-20000</v>
      </c>
      <c r="K20" s="7">
        <f>-Assumptions!$B$19</f>
        <v>-20000</v>
      </c>
      <c r="L20" s="7">
        <f>-Assumptions!$B$19</f>
        <v>-20000</v>
      </c>
      <c r="M20" s="7">
        <f>-Assumptions!$B$19</f>
        <v>-20000</v>
      </c>
      <c r="N20" s="7">
        <f>SUM(B20:M20)</f>
        <v>-240000</v>
      </c>
    </row>
    <row r="21" spans="1:14" x14ac:dyDescent="0.35">
      <c r="A21" s="9" t="s">
        <v>61</v>
      </c>
      <c r="B21" s="9">
        <f>B19+B20</f>
        <v>88000</v>
      </c>
      <c r="C21" s="9">
        <f>C19+C20</f>
        <v>365480</v>
      </c>
      <c r="D21" s="9">
        <f>D19+D20</f>
        <v>378509.60000000009</v>
      </c>
      <c r="E21" s="9">
        <f>E19+E20</f>
        <v>391799.7919999999</v>
      </c>
      <c r="F21" s="9">
        <f>F19+F20</f>
        <v>405355.78784</v>
      </c>
      <c r="G21" s="9">
        <f>G19+G20</f>
        <v>419182.90359680017</v>
      </c>
      <c r="H21" s="9">
        <f>H19+H20</f>
        <v>433286.56166873581</v>
      </c>
      <c r="I21" s="9">
        <f>I19+I20</f>
        <v>447672.29290211067</v>
      </c>
      <c r="J21" s="9">
        <f>J19+J20</f>
        <v>462345.7387601526</v>
      </c>
      <c r="K21" s="9">
        <f>K19+K20</f>
        <v>477312.65353535634</v>
      </c>
      <c r="L21" s="9">
        <f>L19+L20</f>
        <v>492578.90660606336</v>
      </c>
      <c r="M21" s="9">
        <f>M19+M20</f>
        <v>508150.48473818449</v>
      </c>
      <c r="N21" s="9">
        <f>SUM(B21:M21)</f>
        <v>4869674.7216474032</v>
      </c>
    </row>
    <row r="22" spans="1:14" x14ac:dyDescent="0.35">
      <c r="A22" s="10" t="s">
        <v>62</v>
      </c>
      <c r="B22" s="10">
        <f>-Assumptions!$B$7</f>
        <v>-3000000</v>
      </c>
      <c r="C22" s="10">
        <f>0</f>
        <v>0</v>
      </c>
      <c r="D22" s="10">
        <f>0</f>
        <v>0</v>
      </c>
      <c r="E22" s="10">
        <f>0</f>
        <v>0</v>
      </c>
      <c r="F22" s="10">
        <f>0</f>
        <v>0</v>
      </c>
      <c r="G22" s="10">
        <f>0</f>
        <v>0</v>
      </c>
      <c r="H22" s="10">
        <f>0</f>
        <v>0</v>
      </c>
      <c r="I22" s="10">
        <f>0</f>
        <v>0</v>
      </c>
      <c r="J22" s="10">
        <f>0</f>
        <v>0</v>
      </c>
      <c r="K22" s="10">
        <f>0</f>
        <v>0</v>
      </c>
      <c r="L22" s="10">
        <f>0</f>
        <v>0</v>
      </c>
      <c r="M22" s="10">
        <f>0</f>
        <v>0</v>
      </c>
      <c r="N22" s="10">
        <f>SUM(B22:M22)</f>
        <v>-3000000</v>
      </c>
    </row>
    <row r="23" spans="1:14" x14ac:dyDescent="0.35">
      <c r="A23" s="10" t="s">
        <v>63</v>
      </c>
      <c r="B23" s="10">
        <f>B21+B22</f>
        <v>-2912000</v>
      </c>
      <c r="C23" s="10">
        <f>B23+C21+C22</f>
        <v>-2546520</v>
      </c>
      <c r="D23" s="10">
        <f>C23+D21+D22</f>
        <v>-2168010.4</v>
      </c>
      <c r="E23" s="10">
        <f>D23+E21+E22</f>
        <v>-1776210.608</v>
      </c>
      <c r="F23" s="10">
        <f>E23+F21+F22</f>
        <v>-1370854.8201600001</v>
      </c>
      <c r="G23" s="10">
        <f>F23+G21+G22</f>
        <v>-951671.91656319995</v>
      </c>
      <c r="H23" s="10">
        <f>G23+H21+H22</f>
        <v>-518385.35489446414</v>
      </c>
      <c r="I23" s="10">
        <f>H23+I21+I22</f>
        <v>-70713.061992353469</v>
      </c>
      <c r="J23" s="10">
        <f>I23+J21+J22</f>
        <v>391632.67676779913</v>
      </c>
      <c r="K23" s="10">
        <f>J23+K21+K22</f>
        <v>868945.33030315547</v>
      </c>
      <c r="L23" s="10">
        <f>K23+L21+L22</f>
        <v>1361524.2369092188</v>
      </c>
      <c r="M23" s="10">
        <f>L23+M21+M22</f>
        <v>1869674.7216474032</v>
      </c>
      <c r="N23" s="10">
        <f>M23</f>
        <v>1869674.7216474032</v>
      </c>
    </row>
    <row r="24" spans="1:14" x14ac:dyDescent="0.35">
      <c r="A24" s="10" t="s">
        <v>64</v>
      </c>
      <c r="B24" s="10">
        <f>Assumptions!$B$6+B21+B22</f>
        <v>-2162000</v>
      </c>
      <c r="C24" s="10">
        <f>B24+C21+C22</f>
        <v>-1796520</v>
      </c>
      <c r="D24" s="10">
        <f>C24+D21+D22</f>
        <v>-1418010.4</v>
      </c>
      <c r="E24" s="10">
        <f>D24+E21+E22</f>
        <v>-1026210.608</v>
      </c>
      <c r="F24" s="10">
        <f>E24+F21+F22</f>
        <v>-620854.82016</v>
      </c>
      <c r="G24" s="10">
        <f>F24+G21+G22</f>
        <v>-201671.91656319983</v>
      </c>
      <c r="H24" s="10">
        <f>G24+H21+H22</f>
        <v>231614.64510553598</v>
      </c>
      <c r="I24" s="10">
        <f>H24+I21+I22</f>
        <v>679286.93800764671</v>
      </c>
      <c r="J24" s="10">
        <f>I24+J21+J22</f>
        <v>1141632.6767677993</v>
      </c>
      <c r="K24" s="10">
        <f>J24+K21+K22</f>
        <v>1618945.3303031556</v>
      </c>
      <c r="L24" s="10">
        <f>K24+L21+L22</f>
        <v>2111524.2369092191</v>
      </c>
      <c r="M24" s="10">
        <f>L24+M21+M22</f>
        <v>2619674.7216474037</v>
      </c>
      <c r="N24" s="10">
        <f>M24</f>
        <v>2619674.7216474037</v>
      </c>
    </row>
    <row r="25" spans="1:14" x14ac:dyDescent="0.35">
      <c r="A25" t="s">
        <v>65</v>
      </c>
      <c r="B25" t="str">
        <f>IF(B23&gt;=0,"YES","NO")</f>
        <v>NO</v>
      </c>
      <c r="C25" t="str">
        <f>IF(C23&gt;=0,"YES","NO")</f>
        <v>NO</v>
      </c>
      <c r="D25" t="str">
        <f>IF(D23&gt;=0,"YES","NO")</f>
        <v>NO</v>
      </c>
      <c r="E25" t="str">
        <f>IF(E23&gt;=0,"YES","NO")</f>
        <v>NO</v>
      </c>
      <c r="F25" t="str">
        <f>IF(F23&gt;=0,"YES","NO")</f>
        <v>NO</v>
      </c>
      <c r="G25" t="str">
        <f>IF(G23&gt;=0,"YES","NO")</f>
        <v>NO</v>
      </c>
      <c r="H25" t="str">
        <f>IF(H23&gt;=0,"YES","NO")</f>
        <v>NO</v>
      </c>
      <c r="I25" t="str">
        <f>IF(I23&gt;=0,"YES","NO")</f>
        <v>NO</v>
      </c>
      <c r="J25" t="str">
        <f>IF(J23&gt;=0,"YES","NO")</f>
        <v>YES</v>
      </c>
      <c r="K25" t="str">
        <f>IF(K23&gt;=0,"YES","NO")</f>
        <v>YES</v>
      </c>
      <c r="L25" t="str">
        <f>IF(L23&gt;=0,"YES","NO")</f>
        <v>YES</v>
      </c>
      <c r="M25" t="str">
        <f>IF(M23&gt;=0,"YES","NO")</f>
        <v>YES</v>
      </c>
      <c r="N25" t="str">
        <f>IF(COUNTIF(B25:M25,"YES")&gt;0,"YES","NO")</f>
        <v>YES</v>
      </c>
    </row>
    <row r="27" spans="1:14" x14ac:dyDescent="0.35">
      <c r="A27" s="2" t="s">
        <v>66</v>
      </c>
      <c r="B27" s="2" t="s">
        <v>67</v>
      </c>
    </row>
    <row r="28" spans="1:14" x14ac:dyDescent="0.35">
      <c r="A28" t="s">
        <v>68</v>
      </c>
      <c r="B28" cm="1">
        <f t="array" ref="B28">IF(COUNTIF(B23:M23,"&gt;=0")=0,"Not within 12 months",MATCH(TRUE,INDEX(B23:M23&gt;=0,0),0))</f>
        <v>9</v>
      </c>
    </row>
    <row r="29" spans="1:14" x14ac:dyDescent="0.35">
      <c r="A29" t="s">
        <v>69</v>
      </c>
      <c r="B29" s="13" cm="1">
        <f t="array" ref="B29">IF(ISNUMBER(B28),INDEX(B4:M4,1,B28),"N/A")</f>
        <v>46508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58443-6B83-445B-BEC8-2B71D37D451D}">
  <sheetPr>
    <tabColor rgb="FFA5A5A5"/>
  </sheetPr>
  <dimension ref="A1:D9"/>
  <sheetViews>
    <sheetView showGridLines="0" tabSelected="1" workbookViewId="0"/>
  </sheetViews>
  <sheetFormatPr defaultRowHeight="14.5" x14ac:dyDescent="0.35"/>
  <cols>
    <col min="1" max="1" width="18.90625" bestFit="1" customWidth="1"/>
    <col min="2" max="2" width="6.08984375" bestFit="1" customWidth="1"/>
    <col min="3" max="3" width="11.7265625" bestFit="1" customWidth="1"/>
    <col min="4" max="4" width="34" bestFit="1" customWidth="1"/>
  </cols>
  <sheetData>
    <row r="1" spans="1:4" ht="19" thickBot="1" x14ac:dyDescent="0.5">
      <c r="A1" s="1" t="s">
        <v>81</v>
      </c>
      <c r="B1" s="1"/>
      <c r="C1" s="1"/>
      <c r="D1" s="1"/>
    </row>
    <row r="2" spans="1:4" ht="15" thickTop="1" x14ac:dyDescent="0.35"/>
    <row r="3" spans="1:4" x14ac:dyDescent="0.35">
      <c r="A3" t="s">
        <v>82</v>
      </c>
      <c r="B3" s="14" t="str">
        <f>IF(COUNTIF(B6:B9,"FAIL")=0,"PASS","FAIL")</f>
        <v>PASS</v>
      </c>
    </row>
    <row r="4" spans="1:4" x14ac:dyDescent="0.35">
      <c r="B4" s="14"/>
    </row>
    <row r="5" spans="1:4" x14ac:dyDescent="0.35">
      <c r="A5" s="2" t="s">
        <v>83</v>
      </c>
      <c r="B5" s="16" t="s">
        <v>84</v>
      </c>
      <c r="C5" s="2" t="s">
        <v>85</v>
      </c>
      <c r="D5" s="2" t="s">
        <v>86</v>
      </c>
    </row>
    <row r="6" spans="1:4" x14ac:dyDescent="0.35">
      <c r="A6" t="s">
        <v>87</v>
      </c>
      <c r="B6" s="14" t="str">
        <f>IF(ABS(Cash_Flow!M24-(Assumptions!B6-Assumptions!B7+SUM(Cash_Flow!B21:M21)))&lt;1,"PASS","FAIL")</f>
        <v>PASS</v>
      </c>
      <c r="C6">
        <f>Cash_Flow!M24-(Assumptions!B6-Assumptions!B7+SUM(Cash_Flow!B21:M21))</f>
        <v>0</v>
      </c>
      <c r="D6" t="s">
        <v>91</v>
      </c>
    </row>
    <row r="7" spans="1:4" x14ac:dyDescent="0.35">
      <c r="A7" t="s">
        <v>88</v>
      </c>
      <c r="B7" s="14" t="str">
        <f>IF(ABS(Cash_Flow!N7-SUMPRODUCT(Cash_Flow!B5:M5,Cash_Flow!B6:M6))&lt;1,"PASS","FAIL")</f>
        <v>PASS</v>
      </c>
      <c r="C7">
        <f>Cash_Flow!N7-SUMPRODUCT(Cash_Flow!B5:M5,Cash_Flow!B6:M6)</f>
        <v>0</v>
      </c>
      <c r="D7" t="s">
        <v>92</v>
      </c>
    </row>
    <row r="8" spans="1:4" x14ac:dyDescent="0.35">
      <c r="A8" t="s">
        <v>89</v>
      </c>
      <c r="B8" s="14" t="str">
        <f>IF(OR(Cash_Flow!B28="Not within 12 months",AND(ISNUMBER(Cash_Flow!B28),Cash_Flow!B28&gt;=1,Cash_Flow!B28&lt;=12)),"PASS","FAIL")</f>
        <v>PASS</v>
      </c>
      <c r="C8">
        <f>Cash_Flow!B28</f>
        <v>9</v>
      </c>
      <c r="D8" t="s">
        <v>93</v>
      </c>
    </row>
    <row r="9" spans="1:4" x14ac:dyDescent="0.35">
      <c r="A9" t="s">
        <v>90</v>
      </c>
      <c r="B9" s="14" t="str">
        <f>IF(COUNTBLANK(Assumptions!B5:B19)=0,"PASS","FAIL")</f>
        <v>PASS</v>
      </c>
      <c r="C9">
        <f>COUNTBLANK(Assumptions!B5:B19)</f>
        <v>0</v>
      </c>
      <c r="D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Assumptions</vt:lpstr>
      <vt:lpstr>Cash_Flow</vt:lpstr>
      <vt:lpstr>Checks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Abenet Yohannes</dc:creator>
  <cp:lastModifiedBy>Abenet Yohannes</cp:lastModifiedBy>
  <dcterms:created xsi:type="dcterms:W3CDTF">2026-08-19T17:08:41Z</dcterms:created>
  <dcterms:modified xsi:type="dcterms:W3CDTF">2026-08-19T17:14:19Z</dcterms:modified>
</cp:coreProperties>
</file>